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treybayne/Library/CloudStorage/GoogleDrive-trey@youareallstars.com/My Drive/Forecasts/5 Year Forecasts/"/>
    </mc:Choice>
  </mc:AlternateContent>
  <xr:revisionPtr revIDLastSave="0" documentId="13_ncr:1_{26626B03-F52D-4749-951B-94D18EFDB1F8}" xr6:coauthVersionLast="47" xr6:coauthVersionMax="47" xr10:uidLastSave="{00000000-0000-0000-0000-000000000000}"/>
  <bookViews>
    <workbookView xWindow="4680" yWindow="820" windowWidth="28720" windowHeight="18020" xr2:uid="{00000000-000D-0000-FFFF-FFFF00000000}"/>
  </bookViews>
  <sheets>
    <sheet name="Model Assumptions" sheetId="25" r:id="rId1"/>
    <sheet name="Assumptions" sheetId="1" state="hidden" r:id="rId2"/>
    <sheet name="Org Chart" sheetId="2" state="hidden" r:id="rId3"/>
    <sheet name="P&amp;L - 1 Year" sheetId="3" state="hidden" r:id="rId4"/>
    <sheet name="P&amp;L - 5 year" sheetId="4" r:id="rId5"/>
    <sheet name="5 YR Summary" sheetId="23" state="hidden" r:id="rId6"/>
    <sheet name="Breakeven" sheetId="9" r:id="rId7"/>
    <sheet name="League Model" sheetId="27" state="hidden" r:id="rId8"/>
    <sheet name="BKFC Inputs" sheetId="31" r:id="rId9"/>
    <sheet name="Jeremy Model" sheetId="6" state="hidden" r:id="rId10"/>
    <sheet name="Invincible" sheetId="29" state="hidden" r:id="rId11"/>
    <sheet name="BKFC" sheetId="30" r:id="rId12"/>
    <sheet name="Ted Inputs" sheetId="35" r:id="rId13"/>
    <sheet name="Ted" sheetId="36" r:id="rId14"/>
    <sheet name="CB Inputs" sheetId="37" r:id="rId15"/>
    <sheet name="CareBears" sheetId="38" r:id="rId16"/>
    <sheet name="Blumhouse Inputs" sheetId="43" r:id="rId17"/>
    <sheet name="Blumhouse" sheetId="44" r:id="rId18"/>
    <sheet name="Tatsunoko Inputs" sheetId="39" r:id="rId19"/>
    <sheet name="Tatsunoko" sheetId="40" r:id="rId20"/>
    <sheet name="PPA MLP Inputs" sheetId="46" r:id="rId21"/>
    <sheet name="PPA MLP" sheetId="47" r:id="rId22"/>
    <sheet name="Pipeline (Projected)" sheetId="20" r:id="rId23"/>
    <sheet name="Utilization and Salaries" sheetId="22" r:id="rId24"/>
    <sheet name="Frequency Inputs" sheetId="49" r:id="rId25"/>
    <sheet name="Frequency" sheetId="50" r:id="rId26"/>
    <sheet name="Insurance" sheetId="7" state="hidden" r:id="rId27"/>
    <sheet name="Chart Cashflow" sheetId="10" state="hidden" r:id="rId28"/>
    <sheet name="Biz Cards" sheetId="11" state="hidden" r:id="rId29"/>
    <sheet name="Tool Revenue" sheetId="12" state="hidden" r:id="rId30"/>
    <sheet name="Card Rev - Leagues" sheetId="13" state="hidden" r:id="rId31"/>
    <sheet name="Card Rev - Brand Stars" sheetId="14" state="hidden" r:id="rId32"/>
    <sheet name="DPM" sheetId="15" state="hidden" r:id="rId33"/>
    <sheet name="Inside Card Rev" sheetId="16" state="hidden" r:id="rId34"/>
    <sheet name="Services Rev" sheetId="17" state="hidden" r:id="rId35"/>
    <sheet name="Sponsorship" sheetId="18" state="hidden" r:id="rId36"/>
  </sheets>
  <definedNames>
    <definedName name="ActualNumberOfPayments">#REF!</definedName>
    <definedName name="ExtraPayments">#REF!</definedName>
    <definedName name="InterestRate">#REF!</definedName>
    <definedName name="LastCol">MATCH(REPT("z",255),#REF!)</definedName>
    <definedName name="LastRow">MATCH(9.99E+307,#REF!)</definedName>
    <definedName name="LenderName">#REF!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PaymentsPerYear">#REF!</definedName>
    <definedName name="_xlnm.Print_Area" localSheetId="25">Frequency!$A$1:$L$37</definedName>
    <definedName name="_xlnm.Print_Area" localSheetId="24">'Frequency Inputs'!$A$1:$D$54</definedName>
    <definedName name="_xlnm.Print_Titles" localSheetId="25">Frequency!$4:$4</definedName>
    <definedName name="PrintArea_SET" localSheetId="11">OFFSET(#REF!,,,LastRow,LastCol)</definedName>
    <definedName name="PrintArea_SET" localSheetId="8">OFFSET(#REF!,,,LastRow,LastCol)</definedName>
    <definedName name="PrintArea_SET" localSheetId="17">OFFSET(#REF!,,,[0]!LastRow,[0]!LastCol)</definedName>
    <definedName name="PrintArea_SET" localSheetId="16">OFFSET(#REF!,,,[0]!LastRow,[0]!LastCol)</definedName>
    <definedName name="PrintArea_SET" localSheetId="15">OFFSET(#REF!,,,[0]!LastRow,[0]!LastCol)</definedName>
    <definedName name="PrintArea_SET" localSheetId="14">OFFSET(#REF!,,,[0]!LastRow,[0]!LastCol)</definedName>
    <definedName name="PrintArea_SET" localSheetId="10">OFFSET(#REF!,,,LastRow,LastCol)</definedName>
    <definedName name="PrintArea_SET" localSheetId="21">OFFSET(#REF!,,,[0]!LastRow,[0]!LastCol)</definedName>
    <definedName name="PrintArea_SET" localSheetId="20">OFFSET(#REF!,,,[0]!LastRow,[0]!LastCol)</definedName>
    <definedName name="PrintArea_SET" localSheetId="19">OFFSET(#REF!,,,[0]!LastRow,[0]!LastCol)</definedName>
    <definedName name="PrintArea_SET" localSheetId="18">OFFSET(#REF!,,,[0]!LastRow,[0]!LastCol)</definedName>
    <definedName name="PrintArea_SET" localSheetId="13">OFFSET(#REF!,,,[0]!LastRow,[0]!LastCol)</definedName>
    <definedName name="PrintArea_SET" localSheetId="12">OFFSET(#REF!,,,[0]!LastRow,[0]!LastCol)</definedName>
    <definedName name="PrintArea_SET" localSheetId="23">OFFSET(#REF!,,,LastRow,LastCol)</definedName>
    <definedName name="PrintArea_SET">OFFSET(#REF!,,,LastRow,LastCol)</definedName>
    <definedName name="ScheduledNumberOfPayments">#REF!</definedName>
    <definedName name="ScheduledPayment">#REF!</definedName>
    <definedName name="TotalEarlyPayments">#REF!</definedName>
    <definedName name="TotalInter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15" i="4" l="1"/>
  <c r="BH15" i="4"/>
  <c r="BI15" i="4"/>
  <c r="AZ15" i="4"/>
  <c r="BA15" i="4"/>
  <c r="BB15" i="4"/>
  <c r="AM15" i="4"/>
  <c r="AN15" i="4"/>
  <c r="AO15" i="4"/>
  <c r="Z15" i="4"/>
  <c r="AA15" i="4"/>
  <c r="AB15" i="4"/>
  <c r="BL101" i="47"/>
  <c r="BI101" i="47"/>
  <c r="BF101" i="47"/>
  <c r="BC101" i="47"/>
  <c r="AV101" i="47"/>
  <c r="AS101" i="47"/>
  <c r="AL105" i="47"/>
  <c r="AP105" i="47" s="1"/>
  <c r="AY101" i="47" s="1"/>
  <c r="AC105" i="47"/>
  <c r="Y105" i="47"/>
  <c r="AP101" i="47"/>
  <c r="AL101" i="47"/>
  <c r="AI101" i="47"/>
  <c r="AF101" i="47"/>
  <c r="AC101" i="47"/>
  <c r="Y101" i="47"/>
  <c r="V101" i="47"/>
  <c r="S101" i="47"/>
  <c r="BL104" i="47"/>
  <c r="BI104" i="47"/>
  <c r="BF104" i="47"/>
  <c r="BC104" i="47"/>
  <c r="AY104" i="47"/>
  <c r="AV104" i="47"/>
  <c r="AS104" i="47"/>
  <c r="AP104" i="47"/>
  <c r="AL104" i="47"/>
  <c r="AI104" i="47"/>
  <c r="AF104" i="47"/>
  <c r="AC104" i="47"/>
  <c r="Y104" i="47"/>
  <c r="V104" i="47"/>
  <c r="S104" i="47"/>
  <c r="P104" i="47"/>
  <c r="L104" i="47"/>
  <c r="I104" i="47"/>
  <c r="F104" i="47"/>
  <c r="B104" i="47"/>
  <c r="L33" i="50"/>
  <c r="L32" i="50"/>
  <c r="L31" i="50"/>
  <c r="L30" i="50"/>
  <c r="L29" i="50"/>
  <c r="L28" i="50"/>
  <c r="L27" i="50"/>
  <c r="L26" i="50"/>
  <c r="L25" i="50"/>
  <c r="L23" i="50"/>
  <c r="L22" i="50"/>
  <c r="L21" i="50"/>
  <c r="L20" i="50"/>
  <c r="L19" i="50"/>
  <c r="L18" i="50"/>
  <c r="L17" i="50"/>
  <c r="L16" i="50"/>
  <c r="L15" i="50"/>
  <c r="L13" i="50"/>
  <c r="L12" i="50"/>
  <c r="L11" i="50"/>
  <c r="L10" i="50"/>
  <c r="L9" i="50"/>
  <c r="L8" i="50"/>
  <c r="L7" i="50"/>
  <c r="L5" i="50"/>
  <c r="L6" i="50"/>
  <c r="S53" i="4"/>
  <c r="R53" i="4"/>
  <c r="Q53" i="4"/>
  <c r="O53" i="4"/>
  <c r="N53" i="4"/>
  <c r="M53" i="4"/>
  <c r="L53" i="4"/>
  <c r="K53" i="4"/>
  <c r="J53" i="4"/>
  <c r="I53" i="4"/>
  <c r="H53" i="4"/>
  <c r="G53" i="4"/>
  <c r="F53" i="4"/>
  <c r="E53" i="4"/>
  <c r="D53" i="4"/>
  <c r="C41" i="4"/>
  <c r="K41" i="4" s="1"/>
  <c r="P33" i="4"/>
  <c r="P17" i="4"/>
  <c r="I33" i="50"/>
  <c r="G33" i="50"/>
  <c r="E33" i="50"/>
  <c r="I32" i="50"/>
  <c r="G32" i="50"/>
  <c r="E32" i="50"/>
  <c r="I31" i="50"/>
  <c r="G31" i="50"/>
  <c r="E31" i="50"/>
  <c r="I30" i="50"/>
  <c r="G30" i="50"/>
  <c r="E30" i="50"/>
  <c r="I29" i="50"/>
  <c r="G29" i="50"/>
  <c r="E29" i="50"/>
  <c r="D29" i="50"/>
  <c r="I28" i="50"/>
  <c r="G28" i="50"/>
  <c r="E28" i="50"/>
  <c r="I27" i="50"/>
  <c r="G27" i="50"/>
  <c r="E27" i="50"/>
  <c r="I26" i="50"/>
  <c r="G26" i="50"/>
  <c r="E26" i="50"/>
  <c r="D26" i="50"/>
  <c r="F26" i="50" s="1"/>
  <c r="I25" i="50"/>
  <c r="G25" i="50"/>
  <c r="E25" i="50"/>
  <c r="I23" i="50"/>
  <c r="G23" i="50"/>
  <c r="E23" i="50"/>
  <c r="I22" i="50"/>
  <c r="G22" i="50"/>
  <c r="E22" i="50"/>
  <c r="I21" i="50"/>
  <c r="G21" i="50"/>
  <c r="E21" i="50"/>
  <c r="I20" i="50"/>
  <c r="G20" i="50"/>
  <c r="E20" i="50"/>
  <c r="I19" i="50"/>
  <c r="G19" i="50"/>
  <c r="E19" i="50"/>
  <c r="I18" i="50"/>
  <c r="G18" i="50"/>
  <c r="E18" i="50"/>
  <c r="I17" i="50"/>
  <c r="G17" i="50"/>
  <c r="E17" i="50"/>
  <c r="I16" i="50"/>
  <c r="G16" i="50"/>
  <c r="E16" i="50"/>
  <c r="I15" i="50"/>
  <c r="G15" i="50"/>
  <c r="E15" i="50"/>
  <c r="I13" i="50"/>
  <c r="G13" i="50"/>
  <c r="E13" i="50"/>
  <c r="I12" i="50"/>
  <c r="G12" i="50"/>
  <c r="E12" i="50"/>
  <c r="I11" i="50"/>
  <c r="G11" i="50"/>
  <c r="E11" i="50"/>
  <c r="I10" i="50"/>
  <c r="G10" i="50"/>
  <c r="E10" i="50"/>
  <c r="I9" i="50"/>
  <c r="G9" i="50"/>
  <c r="E9" i="50"/>
  <c r="I8" i="50"/>
  <c r="G8" i="50"/>
  <c r="E8" i="50"/>
  <c r="I7" i="50"/>
  <c r="G7" i="50"/>
  <c r="E7" i="50"/>
  <c r="D7" i="50"/>
  <c r="F7" i="50" s="1"/>
  <c r="I6" i="50"/>
  <c r="G6" i="50"/>
  <c r="E6" i="50"/>
  <c r="D6" i="50"/>
  <c r="F6" i="50" s="1"/>
  <c r="K6" i="50" s="1"/>
  <c r="I5" i="50"/>
  <c r="G5" i="50"/>
  <c r="E5" i="50"/>
  <c r="D5" i="50"/>
  <c r="C30" i="49"/>
  <c r="C18" i="49"/>
  <c r="D32" i="50" s="1"/>
  <c r="F32" i="50" s="1"/>
  <c r="C17" i="49"/>
  <c r="D8" i="50" s="1"/>
  <c r="C16" i="49"/>
  <c r="D15" i="50" s="1"/>
  <c r="Q72" i="44"/>
  <c r="Q71" i="44"/>
  <c r="R69" i="44"/>
  <c r="Q59" i="44"/>
  <c r="Q58" i="44"/>
  <c r="Q56" i="44"/>
  <c r="Q55" i="44"/>
  <c r="Q57" i="44" s="1"/>
  <c r="Q60" i="44" s="1"/>
  <c r="Q61" i="44" s="1"/>
  <c r="R53" i="44"/>
  <c r="S64" i="44" s="1"/>
  <c r="S65" i="44" s="1"/>
  <c r="Q43" i="44"/>
  <c r="Q42" i="44"/>
  <c r="Q40" i="44"/>
  <c r="Q39" i="44"/>
  <c r="R37" i="44"/>
  <c r="Q27" i="44"/>
  <c r="Q26" i="44"/>
  <c r="Q24" i="44"/>
  <c r="Q23" i="44"/>
  <c r="R21" i="44"/>
  <c r="Q11" i="44"/>
  <c r="Q10" i="44"/>
  <c r="Q8" i="44"/>
  <c r="Q7" i="44"/>
  <c r="R5" i="44"/>
  <c r="P3" i="44"/>
  <c r="Q3" i="44"/>
  <c r="S5" i="44"/>
  <c r="Q9" i="44"/>
  <c r="Q12" i="44" s="1"/>
  <c r="S32" i="44"/>
  <c r="S33" i="44" s="1"/>
  <c r="S37" i="44"/>
  <c r="Q41" i="44"/>
  <c r="S48" i="44"/>
  <c r="R48" i="44" s="1"/>
  <c r="Q48" i="44" s="1"/>
  <c r="S76" i="44"/>
  <c r="R76" i="44"/>
  <c r="Q76" i="44" s="1"/>
  <c r="L72" i="44"/>
  <c r="L71" i="44"/>
  <c r="M69" i="44"/>
  <c r="L59" i="44"/>
  <c r="L58" i="44"/>
  <c r="L56" i="44"/>
  <c r="L55" i="44"/>
  <c r="M53" i="44"/>
  <c r="L43" i="44"/>
  <c r="L42" i="44"/>
  <c r="L40" i="44"/>
  <c r="L39" i="44"/>
  <c r="M37" i="44"/>
  <c r="L27" i="44"/>
  <c r="L26" i="44"/>
  <c r="L24" i="44"/>
  <c r="L23" i="44"/>
  <c r="M21" i="44"/>
  <c r="L11" i="44"/>
  <c r="L10" i="44"/>
  <c r="L8" i="44"/>
  <c r="L7" i="44"/>
  <c r="M5" i="44"/>
  <c r="G72" i="44"/>
  <c r="G71" i="44"/>
  <c r="H69" i="44"/>
  <c r="G59" i="44"/>
  <c r="G58" i="44"/>
  <c r="G56" i="44"/>
  <c r="G55" i="44"/>
  <c r="H53" i="44"/>
  <c r="G43" i="44"/>
  <c r="G42" i="44"/>
  <c r="G40" i="44"/>
  <c r="G39" i="44"/>
  <c r="H37" i="44"/>
  <c r="G27" i="44"/>
  <c r="G26" i="44"/>
  <c r="G24" i="44"/>
  <c r="G23" i="44"/>
  <c r="H21" i="44"/>
  <c r="G11" i="44"/>
  <c r="G10" i="44"/>
  <c r="G8" i="44"/>
  <c r="G7" i="44"/>
  <c r="H5" i="44"/>
  <c r="L3" i="44"/>
  <c r="K3" i="44"/>
  <c r="G3" i="44"/>
  <c r="F3" i="44"/>
  <c r="B72" i="44"/>
  <c r="B71" i="44"/>
  <c r="C69" i="44"/>
  <c r="B59" i="44"/>
  <c r="B58" i="44"/>
  <c r="B56" i="44"/>
  <c r="B55" i="44"/>
  <c r="C53" i="44"/>
  <c r="B43" i="44"/>
  <c r="B42" i="44"/>
  <c r="B40" i="44"/>
  <c r="B39" i="44"/>
  <c r="C37" i="44"/>
  <c r="B27" i="44"/>
  <c r="B26" i="44"/>
  <c r="B24" i="44"/>
  <c r="B23" i="44"/>
  <c r="C21" i="44"/>
  <c r="B11" i="44"/>
  <c r="B10" i="44"/>
  <c r="B8" i="44"/>
  <c r="B7" i="44"/>
  <c r="C5" i="44"/>
  <c r="B3" i="44"/>
  <c r="A3" i="44"/>
  <c r="K7" i="50" l="1"/>
  <c r="J7" i="50"/>
  <c r="D28" i="50"/>
  <c r="F28" i="50" s="1"/>
  <c r="D19" i="50"/>
  <c r="F19" i="50" s="1"/>
  <c r="J19" i="50" s="1"/>
  <c r="F29" i="50"/>
  <c r="J29" i="50" s="1"/>
  <c r="H7" i="50"/>
  <c r="D18" i="50"/>
  <c r="F18" i="50" s="1"/>
  <c r="J18" i="50" s="1"/>
  <c r="D20" i="50"/>
  <c r="F20" i="50" s="1"/>
  <c r="J20" i="50" s="1"/>
  <c r="F5" i="50"/>
  <c r="K5" i="50" s="1"/>
  <c r="D27" i="50"/>
  <c r="F27" i="50" s="1"/>
  <c r="K27" i="50" s="1"/>
  <c r="D25" i="50"/>
  <c r="F25" i="50" s="1"/>
  <c r="P53" i="4"/>
  <c r="L41" i="4"/>
  <c r="M41" i="4"/>
  <c r="N41" i="4"/>
  <c r="O41" i="4"/>
  <c r="J41" i="4"/>
  <c r="E41" i="4"/>
  <c r="G41" i="4"/>
  <c r="Q41" i="4"/>
  <c r="F41" i="4"/>
  <c r="H41" i="4"/>
  <c r="R41" i="4"/>
  <c r="D41" i="4"/>
  <c r="I41" i="4"/>
  <c r="S41" i="4"/>
  <c r="F15" i="50"/>
  <c r="F8" i="50"/>
  <c r="J28" i="50"/>
  <c r="H28" i="50"/>
  <c r="K28" i="50"/>
  <c r="K32" i="50"/>
  <c r="J32" i="50"/>
  <c r="H32" i="50"/>
  <c r="H19" i="50"/>
  <c r="K19" i="50"/>
  <c r="H26" i="50"/>
  <c r="K26" i="50"/>
  <c r="J26" i="50"/>
  <c r="K29" i="50"/>
  <c r="J25" i="50"/>
  <c r="K25" i="50"/>
  <c r="H25" i="50"/>
  <c r="H20" i="50"/>
  <c r="K20" i="50"/>
  <c r="H18" i="50"/>
  <c r="C19" i="49"/>
  <c r="D31" i="50"/>
  <c r="F31" i="50" s="1"/>
  <c r="D21" i="50"/>
  <c r="F21" i="50" s="1"/>
  <c r="D13" i="50"/>
  <c r="F13" i="50" s="1"/>
  <c r="D23" i="50"/>
  <c r="F23" i="50" s="1"/>
  <c r="D30" i="50"/>
  <c r="F30" i="50" s="1"/>
  <c r="H6" i="50"/>
  <c r="D12" i="50"/>
  <c r="F12" i="50" s="1"/>
  <c r="D22" i="50"/>
  <c r="F22" i="50" s="1"/>
  <c r="D11" i="50"/>
  <c r="F11" i="50" s="1"/>
  <c r="J6" i="50"/>
  <c r="D10" i="50"/>
  <c r="F10" i="50" s="1"/>
  <c r="D17" i="50"/>
  <c r="F17" i="50" s="1"/>
  <c r="D9" i="50"/>
  <c r="F9" i="50" s="1"/>
  <c r="D16" i="50"/>
  <c r="F16" i="50" s="1"/>
  <c r="D33" i="50"/>
  <c r="F33" i="50" s="1"/>
  <c r="S21" i="44"/>
  <c r="S53" i="44"/>
  <c r="S49" i="44"/>
  <c r="R49" i="44" s="1"/>
  <c r="Q73" i="44"/>
  <c r="Q77" i="44"/>
  <c r="S77" i="44"/>
  <c r="Q74" i="44" s="1"/>
  <c r="Q25" i="44"/>
  <c r="Q28" i="44" s="1"/>
  <c r="Q29" i="44" s="1"/>
  <c r="S34" i="44"/>
  <c r="R33" i="44"/>
  <c r="S50" i="44"/>
  <c r="Q13" i="44"/>
  <c r="S66" i="44"/>
  <c r="R65" i="44"/>
  <c r="Q44" i="44"/>
  <c r="Q45" i="44" s="1"/>
  <c r="R32" i="44"/>
  <c r="Q32" i="44" s="1"/>
  <c r="R64" i="44"/>
  <c r="Q64" i="44" s="1"/>
  <c r="R77" i="44"/>
  <c r="S16" i="44"/>
  <c r="Q82" i="44"/>
  <c r="BO51" i="4"/>
  <c r="BN51" i="4"/>
  <c r="BM51" i="4"/>
  <c r="BL51" i="4"/>
  <c r="BK51" i="4"/>
  <c r="BJ51" i="4"/>
  <c r="BI51" i="4"/>
  <c r="BH51" i="4"/>
  <c r="BG51" i="4"/>
  <c r="BF51" i="4"/>
  <c r="BE51" i="4"/>
  <c r="BD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B51" i="4"/>
  <c r="AA51" i="4"/>
  <c r="Z51" i="4"/>
  <c r="Y51" i="4"/>
  <c r="X51" i="4"/>
  <c r="W51" i="4"/>
  <c r="V51" i="4"/>
  <c r="U51" i="4"/>
  <c r="T51" i="4"/>
  <c r="S51" i="4"/>
  <c r="R51" i="4"/>
  <c r="Q51" i="4"/>
  <c r="E51" i="4"/>
  <c r="F51" i="4"/>
  <c r="G51" i="4"/>
  <c r="H51" i="4"/>
  <c r="I51" i="4"/>
  <c r="J51" i="4"/>
  <c r="K51" i="4"/>
  <c r="L51" i="4"/>
  <c r="M51" i="4"/>
  <c r="N51" i="4"/>
  <c r="O51" i="4"/>
  <c r="D51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B39" i="4"/>
  <c r="AA39" i="4"/>
  <c r="Z39" i="4"/>
  <c r="Y39" i="4"/>
  <c r="X39" i="4"/>
  <c r="W39" i="4"/>
  <c r="V39" i="4"/>
  <c r="U39" i="4"/>
  <c r="T39" i="4"/>
  <c r="S39" i="4"/>
  <c r="R39" i="4"/>
  <c r="Q39" i="4"/>
  <c r="E39" i="4"/>
  <c r="F39" i="4"/>
  <c r="G39" i="4"/>
  <c r="H39" i="4"/>
  <c r="I39" i="4"/>
  <c r="J39" i="4"/>
  <c r="K39" i="4"/>
  <c r="L39" i="4"/>
  <c r="M39" i="4"/>
  <c r="N39" i="4"/>
  <c r="O39" i="4"/>
  <c r="D39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B31" i="4"/>
  <c r="AA31" i="4"/>
  <c r="Z31" i="4"/>
  <c r="Y31" i="4"/>
  <c r="X31" i="4"/>
  <c r="W31" i="4"/>
  <c r="V31" i="4"/>
  <c r="U31" i="4"/>
  <c r="T31" i="4"/>
  <c r="S31" i="4"/>
  <c r="R31" i="4"/>
  <c r="Q31" i="4"/>
  <c r="E31" i="4"/>
  <c r="F31" i="4"/>
  <c r="G31" i="4"/>
  <c r="H31" i="4"/>
  <c r="I31" i="4"/>
  <c r="J31" i="4"/>
  <c r="K31" i="4"/>
  <c r="L31" i="4"/>
  <c r="M31" i="4"/>
  <c r="N31" i="4"/>
  <c r="O31" i="4"/>
  <c r="D31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AB13" i="4"/>
  <c r="AA13" i="4"/>
  <c r="Z13" i="4"/>
  <c r="Y13" i="4"/>
  <c r="X13" i="4"/>
  <c r="W13" i="4"/>
  <c r="V13" i="4"/>
  <c r="U13" i="4"/>
  <c r="T13" i="4"/>
  <c r="S13" i="4"/>
  <c r="R13" i="4"/>
  <c r="Q13" i="4"/>
  <c r="E13" i="4"/>
  <c r="F13" i="4"/>
  <c r="G13" i="4"/>
  <c r="H13" i="4"/>
  <c r="I13" i="4"/>
  <c r="J13" i="4"/>
  <c r="K13" i="4"/>
  <c r="L13" i="4"/>
  <c r="M13" i="4"/>
  <c r="N13" i="4"/>
  <c r="O13" i="4"/>
  <c r="D13" i="4"/>
  <c r="BM99" i="47"/>
  <c r="BM98" i="47"/>
  <c r="BI99" i="47"/>
  <c r="BI98" i="47"/>
  <c r="AZ99" i="47"/>
  <c r="AZ98" i="47"/>
  <c r="AV99" i="47"/>
  <c r="AV98" i="47"/>
  <c r="AM99" i="47"/>
  <c r="AM98" i="47"/>
  <c r="AI99" i="47"/>
  <c r="AI98" i="47"/>
  <c r="P101" i="47"/>
  <c r="L101" i="47"/>
  <c r="I101" i="47"/>
  <c r="Z99" i="47"/>
  <c r="Z98" i="47"/>
  <c r="AP72" i="47"/>
  <c r="AP71" i="47"/>
  <c r="AQ69" i="47"/>
  <c r="AP59" i="47"/>
  <c r="AP58" i="47"/>
  <c r="AP56" i="47"/>
  <c r="AP55" i="47"/>
  <c r="AQ53" i="47"/>
  <c r="AR64" i="47" s="1"/>
  <c r="AQ64" i="47" s="1"/>
  <c r="AP64" i="47" s="1"/>
  <c r="AP43" i="47"/>
  <c r="AP42" i="47"/>
  <c r="AP40" i="47"/>
  <c r="AP39" i="47"/>
  <c r="AQ37" i="47"/>
  <c r="AP27" i="47"/>
  <c r="AP26" i="47"/>
  <c r="AP24" i="47"/>
  <c r="AP23" i="47"/>
  <c r="AQ21" i="47"/>
  <c r="AP11" i="47"/>
  <c r="AP10" i="47"/>
  <c r="AP8" i="47"/>
  <c r="AP7" i="47"/>
  <c r="AQ5" i="47"/>
  <c r="AK72" i="47"/>
  <c r="AK71" i="47"/>
  <c r="AL69" i="47"/>
  <c r="AK59" i="47"/>
  <c r="AK58" i="47"/>
  <c r="AK56" i="47"/>
  <c r="AK55" i="47"/>
  <c r="AL53" i="47"/>
  <c r="AK43" i="47"/>
  <c r="AK42" i="47"/>
  <c r="AK40" i="47"/>
  <c r="AK39" i="47"/>
  <c r="AL37" i="47"/>
  <c r="AK27" i="47"/>
  <c r="AK26" i="47"/>
  <c r="AK24" i="47"/>
  <c r="AK23" i="47"/>
  <c r="AL21" i="47"/>
  <c r="AK11" i="47"/>
  <c r="AK10" i="47"/>
  <c r="AK8" i="47"/>
  <c r="AK7" i="47"/>
  <c r="AL5" i="47"/>
  <c r="AF72" i="47"/>
  <c r="AF71" i="47"/>
  <c r="AG69" i="47"/>
  <c r="AF59" i="47"/>
  <c r="AF58" i="47"/>
  <c r="AF56" i="47"/>
  <c r="AF55" i="47"/>
  <c r="AG53" i="47"/>
  <c r="AF43" i="47"/>
  <c r="AF42" i="47"/>
  <c r="AF40" i="47"/>
  <c r="AF39" i="47"/>
  <c r="AG37" i="47"/>
  <c r="AF27" i="47"/>
  <c r="AF26" i="47"/>
  <c r="AF24" i="47"/>
  <c r="AF23" i="47"/>
  <c r="AG21" i="47"/>
  <c r="AF11" i="47"/>
  <c r="AF10" i="47"/>
  <c r="AF8" i="47"/>
  <c r="AF7" i="47"/>
  <c r="AG5" i="47"/>
  <c r="AA72" i="47"/>
  <c r="AA71" i="47"/>
  <c r="AB69" i="47"/>
  <c r="AA59" i="47"/>
  <c r="AA58" i="47"/>
  <c r="AA56" i="47"/>
  <c r="AA55" i="47"/>
  <c r="AB53" i="47"/>
  <c r="AA43" i="47"/>
  <c r="AA42" i="47"/>
  <c r="AA40" i="47"/>
  <c r="AA39" i="47"/>
  <c r="AB37" i="47"/>
  <c r="AA27" i="47"/>
  <c r="AA26" i="47"/>
  <c r="AA24" i="47"/>
  <c r="AA23" i="47"/>
  <c r="AB21" i="47"/>
  <c r="AA11" i="47"/>
  <c r="AA10" i="47"/>
  <c r="AA8" i="47"/>
  <c r="AA7" i="47"/>
  <c r="AB5" i="47"/>
  <c r="V72" i="47"/>
  <c r="V71" i="47"/>
  <c r="W69" i="47"/>
  <c r="V59" i="47"/>
  <c r="V58" i="47"/>
  <c r="V56" i="47"/>
  <c r="V55" i="47"/>
  <c r="W53" i="47"/>
  <c r="V43" i="47"/>
  <c r="V42" i="47"/>
  <c r="V40" i="47"/>
  <c r="V39" i="47"/>
  <c r="W37" i="47"/>
  <c r="V27" i="47"/>
  <c r="V26" i="47"/>
  <c r="V24" i="47"/>
  <c r="V23" i="47"/>
  <c r="W21" i="47"/>
  <c r="V11" i="47"/>
  <c r="V10" i="47"/>
  <c r="V8" i="47"/>
  <c r="V7" i="47"/>
  <c r="W5" i="47"/>
  <c r="AP3" i="47"/>
  <c r="AO3" i="47"/>
  <c r="AK3" i="47"/>
  <c r="AJ3" i="47"/>
  <c r="AF3" i="47"/>
  <c r="AE3" i="47"/>
  <c r="AA3" i="47"/>
  <c r="Z3" i="47"/>
  <c r="V3" i="47"/>
  <c r="U3" i="47"/>
  <c r="Q3" i="47"/>
  <c r="P3" i="47"/>
  <c r="L3" i="47"/>
  <c r="K3" i="47"/>
  <c r="G3" i="47"/>
  <c r="F3" i="47"/>
  <c r="B3" i="47"/>
  <c r="A3" i="47"/>
  <c r="Q72" i="47"/>
  <c r="Q71" i="47"/>
  <c r="R69" i="47"/>
  <c r="Q59" i="47"/>
  <c r="Q58" i="47"/>
  <c r="Q56" i="47"/>
  <c r="Q55" i="47"/>
  <c r="R53" i="47"/>
  <c r="Q43" i="47"/>
  <c r="Q42" i="47"/>
  <c r="Q40" i="47"/>
  <c r="Q39" i="47"/>
  <c r="R37" i="47"/>
  <c r="Q27" i="47"/>
  <c r="Q26" i="47"/>
  <c r="Q24" i="47"/>
  <c r="Q23" i="47"/>
  <c r="R21" i="47"/>
  <c r="Q11" i="47"/>
  <c r="Q10" i="47"/>
  <c r="Q8" i="47"/>
  <c r="Q7" i="47"/>
  <c r="R5" i="47"/>
  <c r="B72" i="47"/>
  <c r="B71" i="47"/>
  <c r="C69" i="47"/>
  <c r="L72" i="47"/>
  <c r="L71" i="47"/>
  <c r="M69" i="47"/>
  <c r="L59" i="47"/>
  <c r="L58" i="47"/>
  <c r="L56" i="47"/>
  <c r="L55" i="47"/>
  <c r="M53" i="47"/>
  <c r="L43" i="47"/>
  <c r="L42" i="47"/>
  <c r="L40" i="47"/>
  <c r="L39" i="47"/>
  <c r="M37" i="47"/>
  <c r="L27" i="47"/>
  <c r="L26" i="47"/>
  <c r="L24" i="47"/>
  <c r="L23" i="47"/>
  <c r="M21" i="47"/>
  <c r="L11" i="47"/>
  <c r="L10" i="47"/>
  <c r="L8" i="47"/>
  <c r="L7" i="47"/>
  <c r="M5" i="47"/>
  <c r="G40" i="47"/>
  <c r="G72" i="47"/>
  <c r="G71" i="47"/>
  <c r="H69" i="47"/>
  <c r="G59" i="47"/>
  <c r="G58" i="47"/>
  <c r="G56" i="47"/>
  <c r="G55" i="47"/>
  <c r="H53" i="47"/>
  <c r="G43" i="47"/>
  <c r="G42" i="47"/>
  <c r="G39" i="47"/>
  <c r="H37" i="47"/>
  <c r="G27" i="47"/>
  <c r="G26" i="47"/>
  <c r="G24" i="47"/>
  <c r="G23" i="47"/>
  <c r="H21" i="47"/>
  <c r="G11" i="47"/>
  <c r="G10" i="47"/>
  <c r="G8" i="47"/>
  <c r="G7" i="47"/>
  <c r="H5" i="47"/>
  <c r="B40" i="47"/>
  <c r="B23" i="47"/>
  <c r="B59" i="47"/>
  <c r="B58" i="47"/>
  <c r="B56" i="47"/>
  <c r="B55" i="47"/>
  <c r="C53" i="47"/>
  <c r="B43" i="47"/>
  <c r="B42" i="47"/>
  <c r="B39" i="47"/>
  <c r="C37" i="47"/>
  <c r="B27" i="47"/>
  <c r="B26" i="47"/>
  <c r="B24" i="47"/>
  <c r="C21" i="47"/>
  <c r="B11" i="47"/>
  <c r="B10" i="47"/>
  <c r="B8" i="47"/>
  <c r="B7" i="47"/>
  <c r="C5" i="47"/>
  <c r="BH102" i="47"/>
  <c r="AR102" i="47"/>
  <c r="AN102" i="47"/>
  <c r="AH102" i="47"/>
  <c r="X102" i="47"/>
  <c r="D102" i="47"/>
  <c r="B101" i="47"/>
  <c r="BM100" i="47"/>
  <c r="BM102" i="47" s="1"/>
  <c r="BH100" i="47"/>
  <c r="BG100" i="47"/>
  <c r="BG102" i="47" s="1"/>
  <c r="BF100" i="47"/>
  <c r="BE100" i="47"/>
  <c r="BE102" i="47" s="1"/>
  <c r="BD100" i="47"/>
  <c r="BD102" i="47" s="1"/>
  <c r="AX100" i="47"/>
  <c r="AX102" i="47" s="1"/>
  <c r="AW100" i="47"/>
  <c r="AU100" i="47"/>
  <c r="AU102" i="47" s="1"/>
  <c r="AT100" i="47"/>
  <c r="AR100" i="47"/>
  <c r="AN100" i="47"/>
  <c r="AM100" i="47"/>
  <c r="AL100" i="47"/>
  <c r="AL102" i="47" s="1"/>
  <c r="AK100" i="47"/>
  <c r="AK102" i="47" s="1"/>
  <c r="AJ100" i="47"/>
  <c r="AH100" i="47"/>
  <c r="AD100" i="47"/>
  <c r="AD102" i="47" s="1"/>
  <c r="AC100" i="47"/>
  <c r="AA100" i="47"/>
  <c r="AA102" i="47" s="1"/>
  <c r="Z100" i="47"/>
  <c r="Y100" i="47"/>
  <c r="X100" i="47"/>
  <c r="T100" i="47"/>
  <c r="S100" i="47"/>
  <c r="R100" i="47"/>
  <c r="Q100" i="47"/>
  <c r="P100" i="47"/>
  <c r="N100" i="47"/>
  <c r="J100" i="47"/>
  <c r="I100" i="47"/>
  <c r="I102" i="47" s="1"/>
  <c r="H100" i="47"/>
  <c r="H102" i="47" s="1"/>
  <c r="G100" i="47"/>
  <c r="G102" i="47" s="1"/>
  <c r="F100" i="47"/>
  <c r="E100" i="47"/>
  <c r="E102" i="47" s="1"/>
  <c r="D100" i="47"/>
  <c r="B100" i="47"/>
  <c r="BK100" i="47" s="1"/>
  <c r="BK102" i="47" s="1"/>
  <c r="O99" i="47"/>
  <c r="O98" i="47"/>
  <c r="L89" i="47"/>
  <c r="Q89" i="47" s="1"/>
  <c r="V89" i="47" s="1"/>
  <c r="AA89" i="47" s="1"/>
  <c r="AF89" i="47" s="1"/>
  <c r="AK89" i="47" s="1"/>
  <c r="AP89" i="47" s="1"/>
  <c r="G89" i="47"/>
  <c r="B89" i="47"/>
  <c r="G87" i="47"/>
  <c r="B87" i="47"/>
  <c r="L87" i="47" s="1"/>
  <c r="Q87" i="47" s="1"/>
  <c r="V87" i="47" s="1"/>
  <c r="AA87" i="47" s="1"/>
  <c r="AF87" i="47" s="1"/>
  <c r="AK87" i="47" s="1"/>
  <c r="AP87" i="47" s="1"/>
  <c r="AR76" i="47"/>
  <c r="AR77" i="47" s="1"/>
  <c r="AQ76" i="47"/>
  <c r="AP76" i="47" s="1"/>
  <c r="AP77" i="47" s="1"/>
  <c r="AM76" i="47"/>
  <c r="S76" i="47"/>
  <c r="S77" i="47" s="1"/>
  <c r="C76" i="47"/>
  <c r="B76" i="47" s="1"/>
  <c r="B77" i="47" s="1"/>
  <c r="V73" i="47"/>
  <c r="AP73" i="47"/>
  <c r="AF73" i="47"/>
  <c r="AA73" i="47"/>
  <c r="Q73" i="47"/>
  <c r="L73" i="47"/>
  <c r="G73" i="47"/>
  <c r="B73" i="47"/>
  <c r="AL76" i="47"/>
  <c r="AK76" i="47" s="1"/>
  <c r="AK77" i="47" s="1"/>
  <c r="AG76" i="47"/>
  <c r="AC76" i="47"/>
  <c r="AC77" i="47" s="1"/>
  <c r="AA74" i="47" s="1"/>
  <c r="R76" i="47"/>
  <c r="N76" i="47"/>
  <c r="N77" i="47" s="1"/>
  <c r="D76" i="47"/>
  <c r="D77" i="47" s="1"/>
  <c r="B74" i="47" s="1"/>
  <c r="N65" i="47"/>
  <c r="M65" i="47" s="1"/>
  <c r="AM64" i="47"/>
  <c r="AM65" i="47" s="1"/>
  <c r="AL65" i="47" s="1"/>
  <c r="AK65" i="47" s="1"/>
  <c r="AK66" i="47" s="1"/>
  <c r="AC64" i="47"/>
  <c r="AB64" i="47" s="1"/>
  <c r="AA64" i="47" s="1"/>
  <c r="X64" i="47"/>
  <c r="X65" i="47" s="1"/>
  <c r="W64" i="47"/>
  <c r="V64" i="47" s="1"/>
  <c r="I64" i="47"/>
  <c r="I65" i="47" s="1"/>
  <c r="D64" i="47"/>
  <c r="AP57" i="47"/>
  <c r="AK57" i="47"/>
  <c r="AK60" i="47" s="1"/>
  <c r="AK61" i="47" s="1"/>
  <c r="AF57" i="47"/>
  <c r="AF60" i="47" s="1"/>
  <c r="AF61" i="47" s="1"/>
  <c r="G57" i="47"/>
  <c r="AC53" i="47"/>
  <c r="D53" i="47"/>
  <c r="V57" i="47"/>
  <c r="V60" i="47" s="1"/>
  <c r="V61" i="47" s="1"/>
  <c r="Q57" i="47"/>
  <c r="Q60" i="47" s="1"/>
  <c r="Q61" i="47" s="1"/>
  <c r="L57" i="47"/>
  <c r="L60" i="47" s="1"/>
  <c r="L61" i="47" s="1"/>
  <c r="AM53" i="47"/>
  <c r="AH64" i="47"/>
  <c r="AG64" i="47" s="1"/>
  <c r="AF64" i="47" s="1"/>
  <c r="X53" i="47"/>
  <c r="S64" i="47"/>
  <c r="N53" i="47"/>
  <c r="N64" i="47"/>
  <c r="M64" i="47" s="1"/>
  <c r="L64" i="47" s="1"/>
  <c r="I53" i="47"/>
  <c r="AR48" i="47"/>
  <c r="AR49" i="47" s="1"/>
  <c r="AQ48" i="47"/>
  <c r="AP48" i="47" s="1"/>
  <c r="AC48" i="47"/>
  <c r="AC49" i="47" s="1"/>
  <c r="AB49" i="47" s="1"/>
  <c r="X48" i="47"/>
  <c r="X49" i="47" s="1"/>
  <c r="W49" i="47" s="1"/>
  <c r="V49" i="47" s="1"/>
  <c r="V50" i="47" s="1"/>
  <c r="N48" i="47"/>
  <c r="N49" i="47" s="1"/>
  <c r="I48" i="47"/>
  <c r="I49" i="47" s="1"/>
  <c r="D48" i="47"/>
  <c r="C48" i="47" s="1"/>
  <c r="B48" i="47" s="1"/>
  <c r="Q44" i="47"/>
  <c r="Q45" i="47" s="1"/>
  <c r="L44" i="47"/>
  <c r="L45" i="47" s="1"/>
  <c r="L41" i="47"/>
  <c r="G41" i="47"/>
  <c r="B41" i="47"/>
  <c r="B44" i="47" s="1"/>
  <c r="B45" i="47" s="1"/>
  <c r="AP41" i="47"/>
  <c r="AP44" i="47" s="1"/>
  <c r="AP45" i="47" s="1"/>
  <c r="AK41" i="47"/>
  <c r="AK44" i="47" s="1"/>
  <c r="AK45" i="47" s="1"/>
  <c r="AA41" i="47"/>
  <c r="AA44" i="47" s="1"/>
  <c r="AA45" i="47" s="1"/>
  <c r="V41" i="47"/>
  <c r="V44" i="47" s="1"/>
  <c r="V45" i="47" s="1"/>
  <c r="Q41" i="47"/>
  <c r="AR37" i="47"/>
  <c r="AM37" i="47"/>
  <c r="AM48" i="47"/>
  <c r="AH37" i="47"/>
  <c r="AH48" i="47"/>
  <c r="AG48" i="47" s="1"/>
  <c r="AF48" i="47" s="1"/>
  <c r="AC37" i="47"/>
  <c r="X37" i="47"/>
  <c r="S37" i="47"/>
  <c r="S48" i="47"/>
  <c r="R48" i="47" s="1"/>
  <c r="Q48" i="47" s="1"/>
  <c r="N37" i="47"/>
  <c r="I37" i="47"/>
  <c r="D37" i="47"/>
  <c r="AH33" i="47"/>
  <c r="AH34" i="47" s="1"/>
  <c r="D33" i="47"/>
  <c r="D34" i="47" s="1"/>
  <c r="AC32" i="47"/>
  <c r="AC33" i="47" s="1"/>
  <c r="I32" i="47"/>
  <c r="H32" i="47" s="1"/>
  <c r="G32" i="47" s="1"/>
  <c r="AP25" i="47"/>
  <c r="AP28" i="47" s="1"/>
  <c r="AP29" i="47" s="1"/>
  <c r="AK25" i="47"/>
  <c r="AK28" i="47" s="1"/>
  <c r="AK29" i="47" s="1"/>
  <c r="Q25" i="47"/>
  <c r="Q28" i="47" s="1"/>
  <c r="Q29" i="47" s="1"/>
  <c r="L25" i="47"/>
  <c r="L28" i="47" s="1"/>
  <c r="L29" i="47" s="1"/>
  <c r="N21" i="47"/>
  <c r="I21" i="47"/>
  <c r="AA25" i="47"/>
  <c r="AA28" i="47" s="1"/>
  <c r="AA29" i="47" s="1"/>
  <c r="V25" i="47"/>
  <c r="V28" i="47" s="1"/>
  <c r="V29" i="47" s="1"/>
  <c r="G25" i="47"/>
  <c r="G28" i="47" s="1"/>
  <c r="G29" i="47" s="1"/>
  <c r="B82" i="47"/>
  <c r="AR21" i="47"/>
  <c r="AR32" i="47"/>
  <c r="AM21" i="47"/>
  <c r="AM32" i="47"/>
  <c r="AH21" i="47"/>
  <c r="AH32" i="47"/>
  <c r="AG32" i="47" s="1"/>
  <c r="AF32" i="47" s="1"/>
  <c r="AC21" i="47"/>
  <c r="X21" i="47"/>
  <c r="S21" i="47"/>
  <c r="S32" i="47"/>
  <c r="R32" i="47" s="1"/>
  <c r="Q32" i="47" s="1"/>
  <c r="N32" i="47"/>
  <c r="D32" i="47"/>
  <c r="C32" i="47" s="1"/>
  <c r="B32" i="47" s="1"/>
  <c r="AR16" i="47"/>
  <c r="AQ16" i="47" s="1"/>
  <c r="AP16" i="47" s="1"/>
  <c r="R16" i="47"/>
  <c r="Q16" i="47" s="1"/>
  <c r="AP9" i="47"/>
  <c r="AP12" i="47" s="1"/>
  <c r="AK9" i="47"/>
  <c r="AA9" i="47"/>
  <c r="AA12" i="47" s="1"/>
  <c r="AF9" i="47"/>
  <c r="X5" i="47"/>
  <c r="S17" i="47"/>
  <c r="AP82" i="47"/>
  <c r="AK82" i="47"/>
  <c r="AF82" i="47"/>
  <c r="AA82" i="47"/>
  <c r="V82" i="47"/>
  <c r="Q82" i="47"/>
  <c r="L82" i="47"/>
  <c r="B9" i="47"/>
  <c r="AR5" i="47"/>
  <c r="AM16" i="47"/>
  <c r="AL16" i="47" s="1"/>
  <c r="AK16" i="47" s="1"/>
  <c r="AH5" i="47"/>
  <c r="AC5" i="47"/>
  <c r="AC16" i="47"/>
  <c r="X16" i="47"/>
  <c r="S16" i="47"/>
  <c r="N5" i="47"/>
  <c r="I5" i="47"/>
  <c r="D5" i="47"/>
  <c r="D16" i="47"/>
  <c r="C16" i="47" s="1"/>
  <c r="B16" i="47" s="1"/>
  <c r="G7" i="46"/>
  <c r="O99" i="40"/>
  <c r="O98" i="40"/>
  <c r="BN49" i="4"/>
  <c r="BM49" i="4"/>
  <c r="BL49" i="4"/>
  <c r="BJ49" i="4"/>
  <c r="BI49" i="4"/>
  <c r="BH49" i="4"/>
  <c r="BF49" i="4"/>
  <c r="BE49" i="4"/>
  <c r="BD49" i="4"/>
  <c r="BB49" i="4"/>
  <c r="AZ49" i="4"/>
  <c r="AY49" i="4"/>
  <c r="AW49" i="4"/>
  <c r="AV49" i="4"/>
  <c r="AS49" i="4"/>
  <c r="AR49" i="4"/>
  <c r="AQ49" i="4"/>
  <c r="AO49" i="4"/>
  <c r="AN49" i="4"/>
  <c r="AM49" i="4"/>
  <c r="AL49" i="4"/>
  <c r="AJ49" i="4"/>
  <c r="AI49" i="4"/>
  <c r="AH49" i="4"/>
  <c r="AG49" i="4"/>
  <c r="AF49" i="4"/>
  <c r="AE49" i="4"/>
  <c r="AD49" i="4"/>
  <c r="AB49" i="4"/>
  <c r="AA49" i="4"/>
  <c r="Y49" i="4"/>
  <c r="X49" i="4"/>
  <c r="W49" i="4"/>
  <c r="V49" i="4"/>
  <c r="U49" i="4"/>
  <c r="T49" i="4"/>
  <c r="S49" i="4"/>
  <c r="R49" i="4"/>
  <c r="Q49" i="4"/>
  <c r="E49" i="4"/>
  <c r="F49" i="4"/>
  <c r="G49" i="4"/>
  <c r="H49" i="4"/>
  <c r="I49" i="4"/>
  <c r="J49" i="4"/>
  <c r="K49" i="4"/>
  <c r="L49" i="4"/>
  <c r="M49" i="4"/>
  <c r="N49" i="4"/>
  <c r="O49" i="4"/>
  <c r="D49" i="4"/>
  <c r="BN37" i="4"/>
  <c r="BL37" i="4"/>
  <c r="BK37" i="4"/>
  <c r="BI37" i="4"/>
  <c r="BH37" i="4"/>
  <c r="BG37" i="4"/>
  <c r="BF37" i="4"/>
  <c r="BE37" i="4"/>
  <c r="BB37" i="4"/>
  <c r="BA37" i="4"/>
  <c r="AY37" i="4"/>
  <c r="AX37" i="4"/>
  <c r="AV37" i="4"/>
  <c r="AU37" i="4"/>
  <c r="AS37" i="4"/>
  <c r="AR37" i="4"/>
  <c r="AO37" i="4"/>
  <c r="AN37" i="4"/>
  <c r="AM37" i="4"/>
  <c r="AL37" i="4"/>
  <c r="AK37" i="4"/>
  <c r="AI37" i="4"/>
  <c r="AH37" i="4"/>
  <c r="AG37" i="4"/>
  <c r="AF37" i="4"/>
  <c r="AE37" i="4"/>
  <c r="AD37" i="4"/>
  <c r="AB37" i="4"/>
  <c r="AA37" i="4"/>
  <c r="Z37" i="4"/>
  <c r="Y37" i="4"/>
  <c r="X37" i="4"/>
  <c r="V37" i="4"/>
  <c r="U37" i="4"/>
  <c r="T37" i="4"/>
  <c r="S37" i="4"/>
  <c r="R37" i="4"/>
  <c r="Q37" i="4"/>
  <c r="E37" i="4"/>
  <c r="F37" i="4"/>
  <c r="G37" i="4"/>
  <c r="H37" i="4"/>
  <c r="I37" i="4"/>
  <c r="J37" i="4"/>
  <c r="K37" i="4"/>
  <c r="L37" i="4"/>
  <c r="M37" i="4"/>
  <c r="N37" i="4"/>
  <c r="O37" i="4"/>
  <c r="D37" i="4"/>
  <c r="BN29" i="4"/>
  <c r="BL29" i="4"/>
  <c r="BK29" i="4"/>
  <c r="BI29" i="4"/>
  <c r="BH29" i="4"/>
  <c r="BG29" i="4"/>
  <c r="BF29" i="4"/>
  <c r="BE29" i="4"/>
  <c r="BB29" i="4"/>
  <c r="BA29" i="4"/>
  <c r="AY29" i="4"/>
  <c r="AX29" i="4"/>
  <c r="AV29" i="4"/>
  <c r="AU29" i="4"/>
  <c r="AS29" i="4"/>
  <c r="AR29" i="4"/>
  <c r="AO29" i="4"/>
  <c r="AN29" i="4"/>
  <c r="AM29" i="4"/>
  <c r="AL29" i="4"/>
  <c r="AK29" i="4"/>
  <c r="AI29" i="4"/>
  <c r="AH29" i="4"/>
  <c r="AG29" i="4"/>
  <c r="AF29" i="4"/>
  <c r="AE29" i="4"/>
  <c r="AD29" i="4"/>
  <c r="AB29" i="4"/>
  <c r="AA29" i="4"/>
  <c r="Z29" i="4"/>
  <c r="Y29" i="4"/>
  <c r="X29" i="4"/>
  <c r="V29" i="4"/>
  <c r="U29" i="4"/>
  <c r="T29" i="4"/>
  <c r="S29" i="4"/>
  <c r="R29" i="4"/>
  <c r="Q29" i="4"/>
  <c r="E29" i="4"/>
  <c r="F29" i="4"/>
  <c r="G29" i="4"/>
  <c r="H29" i="4"/>
  <c r="I29" i="4"/>
  <c r="J29" i="4"/>
  <c r="K29" i="4"/>
  <c r="L29" i="4"/>
  <c r="M29" i="4"/>
  <c r="N29" i="4"/>
  <c r="O29" i="4"/>
  <c r="D29" i="4"/>
  <c r="BN11" i="4"/>
  <c r="BL11" i="4"/>
  <c r="BK11" i="4"/>
  <c r="BI11" i="4"/>
  <c r="BH11" i="4"/>
  <c r="BG11" i="4"/>
  <c r="BF11" i="4"/>
  <c r="BE11" i="4"/>
  <c r="BB11" i="4"/>
  <c r="BA11" i="4"/>
  <c r="AY11" i="4"/>
  <c r="AX11" i="4"/>
  <c r="AV11" i="4"/>
  <c r="AU11" i="4"/>
  <c r="AS11" i="4"/>
  <c r="AR11" i="4"/>
  <c r="AO11" i="4"/>
  <c r="AN11" i="4"/>
  <c r="AM11" i="4"/>
  <c r="AL11" i="4"/>
  <c r="AK11" i="4"/>
  <c r="AI11" i="4"/>
  <c r="AH11" i="4"/>
  <c r="AG11" i="4"/>
  <c r="AF11" i="4"/>
  <c r="AE11" i="4"/>
  <c r="AD11" i="4"/>
  <c r="AB11" i="4"/>
  <c r="AA11" i="4"/>
  <c r="Z11" i="4"/>
  <c r="Y11" i="4"/>
  <c r="X11" i="4"/>
  <c r="V11" i="4"/>
  <c r="U11" i="4"/>
  <c r="T11" i="4"/>
  <c r="S11" i="4"/>
  <c r="R11" i="4"/>
  <c r="Q11" i="4"/>
  <c r="E11" i="4"/>
  <c r="F11" i="4"/>
  <c r="G11" i="4"/>
  <c r="H11" i="4"/>
  <c r="I11" i="4"/>
  <c r="J11" i="4"/>
  <c r="K11" i="4"/>
  <c r="L11" i="4"/>
  <c r="M11" i="4"/>
  <c r="N11" i="4"/>
  <c r="O11" i="4"/>
  <c r="D11" i="4"/>
  <c r="AX102" i="44"/>
  <c r="AR102" i="44"/>
  <c r="AH102" i="44"/>
  <c r="AD102" i="44"/>
  <c r="X102" i="44"/>
  <c r="D102" i="44"/>
  <c r="V101" i="44"/>
  <c r="T101" i="44"/>
  <c r="T102" i="44" s="1"/>
  <c r="S101" i="44"/>
  <c r="F101" i="44"/>
  <c r="B101" i="44"/>
  <c r="BM100" i="44"/>
  <c r="BM102" i="44" s="1"/>
  <c r="BH100" i="44"/>
  <c r="BH102" i="44" s="1"/>
  <c r="BG100" i="44"/>
  <c r="BG102" i="44" s="1"/>
  <c r="BF100" i="44"/>
  <c r="BE100" i="44"/>
  <c r="BE102" i="44" s="1"/>
  <c r="BD100" i="44"/>
  <c r="BD102" i="44" s="1"/>
  <c r="AX100" i="44"/>
  <c r="AW100" i="44"/>
  <c r="AU100" i="44"/>
  <c r="AU102" i="44" s="1"/>
  <c r="AT100" i="44"/>
  <c r="AR100" i="44"/>
  <c r="AN100" i="44"/>
  <c r="AN102" i="44" s="1"/>
  <c r="AM100" i="44"/>
  <c r="AL100" i="44"/>
  <c r="AL102" i="44" s="1"/>
  <c r="AK100" i="44"/>
  <c r="AK102" i="44" s="1"/>
  <c r="AJ100" i="44"/>
  <c r="AH100" i="44"/>
  <c r="AD100" i="44"/>
  <c r="AC100" i="44"/>
  <c r="AA100" i="44"/>
  <c r="AA102" i="44" s="1"/>
  <c r="Z100" i="44"/>
  <c r="Y100" i="44"/>
  <c r="X100" i="44"/>
  <c r="T100" i="44"/>
  <c r="S100" i="44"/>
  <c r="R100" i="44"/>
  <c r="Q100" i="44"/>
  <c r="P100" i="44"/>
  <c r="N100" i="44"/>
  <c r="J100" i="44"/>
  <c r="I100" i="44"/>
  <c r="I102" i="44" s="1"/>
  <c r="H100" i="44"/>
  <c r="H102" i="44" s="1"/>
  <c r="G100" i="44"/>
  <c r="G102" i="44" s="1"/>
  <c r="F100" i="44"/>
  <c r="E100" i="44"/>
  <c r="E102" i="44" s="1"/>
  <c r="D100" i="44"/>
  <c r="B100" i="44"/>
  <c r="BK100" i="44" s="1"/>
  <c r="BK102" i="44" s="1"/>
  <c r="O99" i="44"/>
  <c r="O98" i="44"/>
  <c r="R101" i="44" s="1"/>
  <c r="Q89" i="44"/>
  <c r="L89" i="44"/>
  <c r="G89" i="44"/>
  <c r="B89" i="44"/>
  <c r="L87" i="44"/>
  <c r="Q87" i="44" s="1"/>
  <c r="G87" i="44"/>
  <c r="B87" i="44"/>
  <c r="L73" i="44"/>
  <c r="G73" i="44"/>
  <c r="B73" i="44"/>
  <c r="D76" i="44"/>
  <c r="D77" i="44" s="1"/>
  <c r="I64" i="44"/>
  <c r="I65" i="44" s="1"/>
  <c r="B57" i="44"/>
  <c r="B60" i="44" s="1"/>
  <c r="B61" i="44" s="1"/>
  <c r="G57" i="44"/>
  <c r="G60" i="44" s="1"/>
  <c r="G61" i="44" s="1"/>
  <c r="N64" i="44"/>
  <c r="M64" i="44" s="1"/>
  <c r="L64" i="44" s="1"/>
  <c r="I53" i="44"/>
  <c r="D64" i="44"/>
  <c r="D65" i="44" s="1"/>
  <c r="C65" i="44" s="1"/>
  <c r="C66" i="44" s="1"/>
  <c r="N48" i="44"/>
  <c r="N49" i="44" s="1"/>
  <c r="D48" i="44"/>
  <c r="C48" i="44"/>
  <c r="B48" i="44" s="1"/>
  <c r="L41" i="44"/>
  <c r="L44" i="44" s="1"/>
  <c r="L45" i="44" s="1"/>
  <c r="G41" i="44"/>
  <c r="G44" i="44" s="1"/>
  <c r="G45" i="44" s="1"/>
  <c r="B41" i="44"/>
  <c r="B44" i="44" s="1"/>
  <c r="B45" i="44" s="1"/>
  <c r="N37" i="44"/>
  <c r="I48" i="44"/>
  <c r="D32" i="44"/>
  <c r="D33" i="44" s="1"/>
  <c r="L25" i="44"/>
  <c r="L28" i="44" s="1"/>
  <c r="L29" i="44" s="1"/>
  <c r="G25" i="44"/>
  <c r="G28" i="44" s="1"/>
  <c r="G29" i="44" s="1"/>
  <c r="B25" i="44"/>
  <c r="B28" i="44" s="1"/>
  <c r="B29" i="44" s="1"/>
  <c r="N21" i="44"/>
  <c r="N32" i="44"/>
  <c r="I32" i="44"/>
  <c r="D21" i="44"/>
  <c r="I17" i="44"/>
  <c r="N16" i="44"/>
  <c r="N17" i="44" s="1"/>
  <c r="N18" i="44" s="1"/>
  <c r="I16" i="44"/>
  <c r="H16" i="44" s="1"/>
  <c r="G16" i="44" s="1"/>
  <c r="B9" i="44"/>
  <c r="N5" i="44"/>
  <c r="I5" i="44"/>
  <c r="D5" i="44"/>
  <c r="D16" i="44"/>
  <c r="G7" i="43"/>
  <c r="K18" i="50" l="1"/>
  <c r="H5" i="50"/>
  <c r="F34" i="50"/>
  <c r="J5" i="50"/>
  <c r="J27" i="50"/>
  <c r="H27" i="50"/>
  <c r="H29" i="50"/>
  <c r="F14" i="50"/>
  <c r="P41" i="4"/>
  <c r="BP31" i="4"/>
  <c r="BP39" i="4"/>
  <c r="BP51" i="4"/>
  <c r="AC51" i="4"/>
  <c r="P31" i="4"/>
  <c r="AP31" i="4"/>
  <c r="AP39" i="4"/>
  <c r="AP51" i="4"/>
  <c r="AC39" i="4"/>
  <c r="P39" i="4"/>
  <c r="AC31" i="4"/>
  <c r="BC31" i="4"/>
  <c r="BC39" i="4"/>
  <c r="BC51" i="4"/>
  <c r="K17" i="50"/>
  <c r="H17" i="50"/>
  <c r="J17" i="50"/>
  <c r="J21" i="50"/>
  <c r="H21" i="50"/>
  <c r="K21" i="50"/>
  <c r="H12" i="50"/>
  <c r="K12" i="50"/>
  <c r="J12" i="50"/>
  <c r="J33" i="50"/>
  <c r="H33" i="50"/>
  <c r="K33" i="50"/>
  <c r="D14" i="50"/>
  <c r="J10" i="50"/>
  <c r="K10" i="50"/>
  <c r="H10" i="50"/>
  <c r="J11" i="50"/>
  <c r="K11" i="50"/>
  <c r="H11" i="50"/>
  <c r="H16" i="50"/>
  <c r="K16" i="50"/>
  <c r="J16" i="50"/>
  <c r="K30" i="50"/>
  <c r="J30" i="50"/>
  <c r="H30" i="50"/>
  <c r="K8" i="50"/>
  <c r="K14" i="50" s="1"/>
  <c r="J8" i="50"/>
  <c r="H8" i="50"/>
  <c r="J31" i="50"/>
  <c r="K31" i="50"/>
  <c r="K34" i="50" s="1"/>
  <c r="H31" i="50"/>
  <c r="H9" i="50"/>
  <c r="K9" i="50"/>
  <c r="J9" i="50"/>
  <c r="K23" i="50"/>
  <c r="J23" i="50"/>
  <c r="H23" i="50"/>
  <c r="D24" i="50"/>
  <c r="K22" i="50"/>
  <c r="J22" i="50"/>
  <c r="H22" i="50"/>
  <c r="D34" i="50"/>
  <c r="H13" i="50"/>
  <c r="K13" i="50"/>
  <c r="J13" i="50"/>
  <c r="K15" i="50"/>
  <c r="H15" i="50"/>
  <c r="J15" i="50"/>
  <c r="F24" i="50"/>
  <c r="Q81" i="44"/>
  <c r="M48" i="44"/>
  <c r="L48" i="44" s="1"/>
  <c r="R34" i="44"/>
  <c r="Q30" i="44" s="1"/>
  <c r="Q33" i="44"/>
  <c r="Q34" i="44" s="1"/>
  <c r="Q49" i="44"/>
  <c r="Q50" i="44" s="1"/>
  <c r="R50" i="44"/>
  <c r="Q46" i="44" s="1"/>
  <c r="R66" i="44"/>
  <c r="Q62" i="44" s="1"/>
  <c r="Q65" i="44"/>
  <c r="Q66" i="44" s="1"/>
  <c r="Q80" i="44"/>
  <c r="S17" i="44"/>
  <c r="R16" i="44"/>
  <c r="Q16" i="44" s="1"/>
  <c r="Q79" i="44"/>
  <c r="M16" i="44"/>
  <c r="L16" i="44" s="1"/>
  <c r="H64" i="44"/>
  <c r="G64" i="44" s="1"/>
  <c r="B74" i="44"/>
  <c r="B62" i="44"/>
  <c r="B65" i="44"/>
  <c r="B66" i="44" s="1"/>
  <c r="B81" i="44"/>
  <c r="P51" i="4"/>
  <c r="AC13" i="4"/>
  <c r="P29" i="4"/>
  <c r="P37" i="4"/>
  <c r="P13" i="4"/>
  <c r="P11" i="4"/>
  <c r="AP13" i="4"/>
  <c r="BC13" i="4"/>
  <c r="P49" i="4"/>
  <c r="BP13" i="4"/>
  <c r="AP74" i="47"/>
  <c r="AR53" i="47"/>
  <c r="AM77" i="47"/>
  <c r="AL64" i="47"/>
  <c r="AK64" i="47" s="1"/>
  <c r="AB48" i="47"/>
  <c r="AA48" i="47" s="1"/>
  <c r="AB32" i="47"/>
  <c r="AA32" i="47" s="1"/>
  <c r="Q74" i="47"/>
  <c r="S49" i="47"/>
  <c r="R49" i="47" s="1"/>
  <c r="L74" i="47"/>
  <c r="N66" i="47"/>
  <c r="M48" i="47"/>
  <c r="L48" i="47" s="1"/>
  <c r="G60" i="47"/>
  <c r="G61" i="47" s="1"/>
  <c r="H64" i="47"/>
  <c r="G64" i="47" s="1"/>
  <c r="G44" i="47"/>
  <c r="G45" i="47" s="1"/>
  <c r="R17" i="47"/>
  <c r="S18" i="47"/>
  <c r="AC34" i="47"/>
  <c r="AB33" i="47"/>
  <c r="N50" i="47"/>
  <c r="M49" i="47"/>
  <c r="AF76" i="47"/>
  <c r="AF77" i="47" s="1"/>
  <c r="AG77" i="47"/>
  <c r="M66" i="47"/>
  <c r="L62" i="47" s="1"/>
  <c r="L65" i="47"/>
  <c r="L66" i="47" s="1"/>
  <c r="AB16" i="47"/>
  <c r="AA16" i="47" s="1"/>
  <c r="AC17" i="47"/>
  <c r="AF12" i="47"/>
  <c r="I66" i="47"/>
  <c r="H65" i="47"/>
  <c r="AR33" i="47"/>
  <c r="AQ32" i="47"/>
  <c r="AP32" i="47" s="1"/>
  <c r="AA13" i="47"/>
  <c r="AR50" i="47"/>
  <c r="AQ49" i="47"/>
  <c r="AK81" i="47"/>
  <c r="AP80" i="47"/>
  <c r="Q49" i="47"/>
  <c r="Q50" i="47" s="1"/>
  <c r="R50" i="47"/>
  <c r="Q46" i="47" s="1"/>
  <c r="Q76" i="47"/>
  <c r="Q77" i="47" s="1"/>
  <c r="R77" i="47"/>
  <c r="W16" i="47"/>
  <c r="V16" i="47" s="1"/>
  <c r="X17" i="47"/>
  <c r="AM49" i="47"/>
  <c r="AL48" i="47"/>
  <c r="AK48" i="47" s="1"/>
  <c r="M32" i="47"/>
  <c r="L32" i="47" s="1"/>
  <c r="N33" i="47"/>
  <c r="B12" i="47"/>
  <c r="AP81" i="47"/>
  <c r="S50" i="47"/>
  <c r="AA57" i="47"/>
  <c r="AA60" i="47" s="1"/>
  <c r="AA61" i="47" s="1"/>
  <c r="AM66" i="47"/>
  <c r="AH76" i="47"/>
  <c r="AH77" i="47" s="1"/>
  <c r="AF74" i="47" s="1"/>
  <c r="G82" i="47"/>
  <c r="Q9" i="47"/>
  <c r="B25" i="47"/>
  <c r="B28" i="47" s="1"/>
  <c r="B29" i="47" s="1"/>
  <c r="H49" i="47"/>
  <c r="I50" i="47"/>
  <c r="AR65" i="47"/>
  <c r="Q102" i="47"/>
  <c r="T102" i="47"/>
  <c r="V9" i="47"/>
  <c r="AK12" i="47"/>
  <c r="AP13" i="47"/>
  <c r="I16" i="47"/>
  <c r="X32" i="47"/>
  <c r="C33" i="47"/>
  <c r="AG33" i="47"/>
  <c r="R64" i="47"/>
  <c r="Q64" i="47" s="1"/>
  <c r="S65" i="47"/>
  <c r="X76" i="47"/>
  <c r="X77" i="47" s="1"/>
  <c r="V74" i="47" s="1"/>
  <c r="W76" i="47"/>
  <c r="AA81" i="47"/>
  <c r="AB50" i="47"/>
  <c r="AA46" i="47" s="1"/>
  <c r="AA49" i="47"/>
  <c r="AA50" i="47" s="1"/>
  <c r="S53" i="47"/>
  <c r="AB76" i="47"/>
  <c r="C77" i="47"/>
  <c r="F102" i="47"/>
  <c r="S102" i="47"/>
  <c r="AH16" i="47"/>
  <c r="AC50" i="47"/>
  <c r="AP60" i="47"/>
  <c r="AP61" i="47" s="1"/>
  <c r="N16" i="47"/>
  <c r="AM17" i="47"/>
  <c r="AF41" i="47"/>
  <c r="AF44" i="47" s="1"/>
  <c r="AF45" i="47" s="1"/>
  <c r="W48" i="47"/>
  <c r="V48" i="47" s="1"/>
  <c r="AC65" i="47"/>
  <c r="AL66" i="47"/>
  <c r="AK62" i="47" s="1"/>
  <c r="AL77" i="47"/>
  <c r="N102" i="47"/>
  <c r="Z102" i="47"/>
  <c r="J102" i="47"/>
  <c r="AM102" i="47"/>
  <c r="F101" i="47"/>
  <c r="AH49" i="47"/>
  <c r="S33" i="47"/>
  <c r="W65" i="47"/>
  <c r="X66" i="47"/>
  <c r="AK73" i="47"/>
  <c r="AK74" i="47" s="1"/>
  <c r="M76" i="47"/>
  <c r="S5" i="47"/>
  <c r="G9" i="47"/>
  <c r="AL32" i="47"/>
  <c r="AK32" i="47" s="1"/>
  <c r="AM33" i="47"/>
  <c r="AF25" i="47"/>
  <c r="AF28" i="47" s="1"/>
  <c r="AF29" i="47" s="1"/>
  <c r="W50" i="47"/>
  <c r="V46" i="47" s="1"/>
  <c r="AH65" i="47"/>
  <c r="H76" i="47"/>
  <c r="I76" i="47"/>
  <c r="I77" i="47" s="1"/>
  <c r="G74" i="47" s="1"/>
  <c r="R102" i="47"/>
  <c r="AM5" i="47"/>
  <c r="AR17" i="47"/>
  <c r="I33" i="47"/>
  <c r="AH53" i="47"/>
  <c r="L9" i="47"/>
  <c r="D17" i="47"/>
  <c r="H48" i="47"/>
  <c r="G48" i="47" s="1"/>
  <c r="X50" i="47"/>
  <c r="B57" i="47"/>
  <c r="B60" i="47" s="1"/>
  <c r="B61" i="47" s="1"/>
  <c r="D65" i="47"/>
  <c r="C64" i="47"/>
  <c r="B64" i="47" s="1"/>
  <c r="P102" i="47"/>
  <c r="AC102" i="47"/>
  <c r="D49" i="47"/>
  <c r="AQ77" i="47"/>
  <c r="K100" i="47"/>
  <c r="K102" i="47" s="1"/>
  <c r="U100" i="47"/>
  <c r="U102" i="47" s="1"/>
  <c r="AE100" i="47"/>
  <c r="AE102" i="47" s="1"/>
  <c r="D21" i="47"/>
  <c r="L100" i="47"/>
  <c r="L102" i="47" s="1"/>
  <c r="AF100" i="47"/>
  <c r="AF102" i="47" s="1"/>
  <c r="AZ100" i="47"/>
  <c r="BJ100" i="47"/>
  <c r="C100" i="47"/>
  <c r="M100" i="47"/>
  <c r="M102" i="47" s="1"/>
  <c r="W100" i="47"/>
  <c r="W102" i="47" s="1"/>
  <c r="AG100" i="47"/>
  <c r="AG102" i="47" s="1"/>
  <c r="AQ100" i="47"/>
  <c r="AQ102" i="47" s="1"/>
  <c r="BA100" i="47"/>
  <c r="BA102" i="47" s="1"/>
  <c r="C33" i="44"/>
  <c r="D34" i="44"/>
  <c r="N50" i="44"/>
  <c r="M49" i="44"/>
  <c r="B12" i="44"/>
  <c r="M17" i="44"/>
  <c r="C32" i="44"/>
  <c r="B32" i="44" s="1"/>
  <c r="N65" i="44"/>
  <c r="N53" i="44"/>
  <c r="N33" i="44"/>
  <c r="M32" i="44"/>
  <c r="L32" i="44" s="1"/>
  <c r="N76" i="44"/>
  <c r="N77" i="44" s="1"/>
  <c r="L74" i="44" s="1"/>
  <c r="M76" i="44"/>
  <c r="H48" i="44"/>
  <c r="G48" i="44" s="1"/>
  <c r="I49" i="44"/>
  <c r="I37" i="44"/>
  <c r="H32" i="44"/>
  <c r="G32" i="44" s="1"/>
  <c r="I33" i="44"/>
  <c r="H76" i="44"/>
  <c r="I76" i="44"/>
  <c r="I77" i="44" s="1"/>
  <c r="G74" i="44" s="1"/>
  <c r="C16" i="44"/>
  <c r="B16" i="44" s="1"/>
  <c r="D17" i="44"/>
  <c r="H17" i="44"/>
  <c r="I18" i="44"/>
  <c r="G82" i="44"/>
  <c r="L82" i="44"/>
  <c r="D37" i="44"/>
  <c r="I66" i="44"/>
  <c r="H65" i="44"/>
  <c r="D66" i="44"/>
  <c r="L57" i="44"/>
  <c r="L60" i="44" s="1"/>
  <c r="L61" i="44" s="1"/>
  <c r="Z102" i="44"/>
  <c r="I21" i="44"/>
  <c r="D53" i="44"/>
  <c r="C76" i="44"/>
  <c r="AC102" i="44"/>
  <c r="Q102" i="44"/>
  <c r="Q101" i="44"/>
  <c r="J102" i="44"/>
  <c r="G9" i="44"/>
  <c r="B82" i="44"/>
  <c r="L9" i="44"/>
  <c r="D49" i="44"/>
  <c r="C64" i="44"/>
  <c r="B64" i="44" s="1"/>
  <c r="R102" i="44"/>
  <c r="AF101" i="44"/>
  <c r="N101" i="44"/>
  <c r="N102" i="44" s="1"/>
  <c r="Z101" i="44"/>
  <c r="J101" i="44"/>
  <c r="O101" i="44" s="1"/>
  <c r="AG101" i="44"/>
  <c r="P101" i="44"/>
  <c r="P102" i="44" s="1"/>
  <c r="F102" i="44"/>
  <c r="S102" i="44"/>
  <c r="AM101" i="44"/>
  <c r="AM102" i="44" s="1"/>
  <c r="K100" i="44"/>
  <c r="K102" i="44" s="1"/>
  <c r="U100" i="44"/>
  <c r="U102" i="44" s="1"/>
  <c r="AE100" i="44"/>
  <c r="AE102" i="44" s="1"/>
  <c r="L100" i="44"/>
  <c r="L102" i="44" s="1"/>
  <c r="AF100" i="44"/>
  <c r="AF102" i="44" s="1"/>
  <c r="AZ100" i="44"/>
  <c r="BJ100" i="44"/>
  <c r="C100" i="44"/>
  <c r="M100" i="44"/>
  <c r="M102" i="44" s="1"/>
  <c r="W100" i="44"/>
  <c r="W102" i="44" s="1"/>
  <c r="AG100" i="44"/>
  <c r="AQ100" i="44"/>
  <c r="AQ102" i="44" s="1"/>
  <c r="BA100" i="44"/>
  <c r="BA102" i="44" s="1"/>
  <c r="AC101" i="38"/>
  <c r="V101" i="38"/>
  <c r="Y101" i="36"/>
  <c r="BL101" i="38"/>
  <c r="BI101" i="38"/>
  <c r="BF101" i="38"/>
  <c r="BC101" i="38"/>
  <c r="AY101" i="38"/>
  <c r="AV101" i="38"/>
  <c r="AS101" i="38"/>
  <c r="AP101" i="38"/>
  <c r="AL101" i="38"/>
  <c r="AI101" i="38"/>
  <c r="AF101" i="38"/>
  <c r="P101" i="38"/>
  <c r="S101" i="38"/>
  <c r="Y101" i="38"/>
  <c r="V101" i="36"/>
  <c r="V99" i="36"/>
  <c r="V98" i="36"/>
  <c r="V100" i="36" s="1"/>
  <c r="W100" i="36"/>
  <c r="BM99" i="30"/>
  <c r="BN99" i="30"/>
  <c r="BJ99" i="30"/>
  <c r="BL99" i="30"/>
  <c r="BG99" i="30"/>
  <c r="BI99" i="30"/>
  <c r="AZ99" i="30"/>
  <c r="BC99" i="30"/>
  <c r="AW99" i="30"/>
  <c r="AY99" i="30"/>
  <c r="AT99" i="30"/>
  <c r="AV99" i="30"/>
  <c r="AM99" i="30"/>
  <c r="AP99" i="30"/>
  <c r="AL99" i="30"/>
  <c r="AJ99" i="30"/>
  <c r="AI99" i="30"/>
  <c r="AG99" i="30"/>
  <c r="AF101" i="30"/>
  <c r="AC101" i="30"/>
  <c r="Y101" i="30"/>
  <c r="V101" i="30"/>
  <c r="P101" i="30"/>
  <c r="M99" i="30"/>
  <c r="Q55" i="4"/>
  <c r="R20" i="4"/>
  <c r="S20" i="4" s="1"/>
  <c r="T55" i="4" s="1"/>
  <c r="BO32" i="4"/>
  <c r="BN32" i="4"/>
  <c r="BM32" i="4"/>
  <c r="BL32" i="4"/>
  <c r="BK32" i="4"/>
  <c r="BJ32" i="4"/>
  <c r="BI32" i="4"/>
  <c r="BH32" i="4"/>
  <c r="BG32" i="4"/>
  <c r="AY32" i="4"/>
  <c r="AX32" i="4"/>
  <c r="AL32" i="4"/>
  <c r="AK32" i="4"/>
  <c r="AA32" i="4"/>
  <c r="Y32" i="4"/>
  <c r="X32" i="4"/>
  <c r="BF52" i="4"/>
  <c r="BE52" i="4"/>
  <c r="BD52" i="4"/>
  <c r="AY52" i="4"/>
  <c r="AX52" i="4"/>
  <c r="AW52" i="4"/>
  <c r="AV52" i="4"/>
  <c r="AU52" i="4"/>
  <c r="AT52" i="4"/>
  <c r="AS52" i="4"/>
  <c r="AR52" i="4"/>
  <c r="AQ52" i="4"/>
  <c r="AL52" i="4"/>
  <c r="AK52" i="4"/>
  <c r="AJ52" i="4"/>
  <c r="AI52" i="4"/>
  <c r="AH52" i="4"/>
  <c r="AG52" i="4"/>
  <c r="AF52" i="4"/>
  <c r="AE52" i="4"/>
  <c r="AD52" i="4"/>
  <c r="Y52" i="4"/>
  <c r="X52" i="4"/>
  <c r="W52" i="4"/>
  <c r="V52" i="4"/>
  <c r="BF15" i="4"/>
  <c r="BE15" i="4"/>
  <c r="BD15" i="4"/>
  <c r="AY15" i="4"/>
  <c r="AX15" i="4"/>
  <c r="AW15" i="4"/>
  <c r="AV15" i="4"/>
  <c r="AU15" i="4"/>
  <c r="AT15" i="4"/>
  <c r="AS15" i="4"/>
  <c r="AR15" i="4"/>
  <c r="AQ15" i="4"/>
  <c r="AL15" i="4"/>
  <c r="AK15" i="4"/>
  <c r="AJ15" i="4"/>
  <c r="AI15" i="4"/>
  <c r="AH15" i="4"/>
  <c r="AG15" i="4"/>
  <c r="AF15" i="4"/>
  <c r="AE15" i="4"/>
  <c r="AD15" i="4"/>
  <c r="Y15" i="4"/>
  <c r="X15" i="4"/>
  <c r="W15" i="4"/>
  <c r="V15" i="4"/>
  <c r="AG120" i="22"/>
  <c r="AN110" i="22"/>
  <c r="AN113" i="22"/>
  <c r="AG124" i="22"/>
  <c r="AL110" i="22"/>
  <c r="AG113" i="22"/>
  <c r="BF41" i="4" l="1"/>
  <c r="AU41" i="4"/>
  <c r="BM41" i="4"/>
  <c r="BA41" i="4"/>
  <c r="BO41" i="4"/>
  <c r="BE41" i="4"/>
  <c r="AT41" i="4"/>
  <c r="BN41" i="4"/>
  <c r="BD41" i="4"/>
  <c r="BB41" i="4"/>
  <c r="BL41" i="4"/>
  <c r="BI41" i="4"/>
  <c r="AX41" i="4"/>
  <c r="BH41" i="4"/>
  <c r="AW41" i="4"/>
  <c r="BG41" i="4"/>
  <c r="AV41" i="4"/>
  <c r="BK41" i="4"/>
  <c r="AZ41" i="4"/>
  <c r="BJ41" i="4"/>
  <c r="AY41" i="4"/>
  <c r="Y41" i="4"/>
  <c r="V41" i="4"/>
  <c r="AF41" i="4"/>
  <c r="X41" i="4"/>
  <c r="W41" i="4"/>
  <c r="U41" i="4"/>
  <c r="AB41" i="4"/>
  <c r="AA41" i="4"/>
  <c r="Z41" i="4"/>
  <c r="AE41" i="4"/>
  <c r="T41" i="4"/>
  <c r="AD41" i="4"/>
  <c r="J14" i="50"/>
  <c r="J34" i="50"/>
  <c r="BQ39" i="4"/>
  <c r="BQ51" i="4"/>
  <c r="BQ31" i="4"/>
  <c r="L34" i="50"/>
  <c r="J24" i="50"/>
  <c r="L14" i="50"/>
  <c r="L24" i="50"/>
  <c r="H24" i="50"/>
  <c r="D35" i="50"/>
  <c r="K24" i="50"/>
  <c r="H14" i="50"/>
  <c r="H34" i="50"/>
  <c r="F35" i="50"/>
  <c r="S18" i="44"/>
  <c r="R17" i="44"/>
  <c r="BQ13" i="4"/>
  <c r="AP79" i="47"/>
  <c r="AK80" i="47"/>
  <c r="AK13" i="47"/>
  <c r="AK79" i="47" s="1"/>
  <c r="L81" i="47"/>
  <c r="L12" i="47"/>
  <c r="G76" i="47"/>
  <c r="G77" i="47" s="1"/>
  <c r="H77" i="47"/>
  <c r="M77" i="47"/>
  <c r="L76" i="47"/>
  <c r="L77" i="47" s="1"/>
  <c r="I17" i="47"/>
  <c r="H16" i="47"/>
  <c r="G16" i="47" s="1"/>
  <c r="B81" i="47"/>
  <c r="AQ33" i="47"/>
  <c r="AR34" i="47"/>
  <c r="AG65" i="47"/>
  <c r="AH66" i="47"/>
  <c r="AC66" i="47"/>
  <c r="AB65" i="47"/>
  <c r="AG16" i="47"/>
  <c r="AF16" i="47" s="1"/>
  <c r="AH17" i="47"/>
  <c r="Q81" i="47"/>
  <c r="Q12" i="47"/>
  <c r="N34" i="47"/>
  <c r="M33" i="47"/>
  <c r="AB77" i="47"/>
  <c r="AA76" i="47"/>
  <c r="AA77" i="47" s="1"/>
  <c r="AB17" i="47"/>
  <c r="AC18" i="47"/>
  <c r="AA33" i="47"/>
  <c r="AA34" i="47" s="1"/>
  <c r="AB34" i="47"/>
  <c r="AA30" i="47" s="1"/>
  <c r="V76" i="47"/>
  <c r="V77" i="47" s="1"/>
  <c r="W77" i="47"/>
  <c r="AL33" i="47"/>
  <c r="AM34" i="47"/>
  <c r="AM18" i="47"/>
  <c r="AL17" i="47"/>
  <c r="AF13" i="47"/>
  <c r="AF79" i="47" s="1"/>
  <c r="AF80" i="47"/>
  <c r="S66" i="47"/>
  <c r="R65" i="47"/>
  <c r="X18" i="47"/>
  <c r="W17" i="47"/>
  <c r="AP49" i="47"/>
  <c r="AP50" i="47" s="1"/>
  <c r="AQ50" i="47"/>
  <c r="AP46" i="47" s="1"/>
  <c r="G81" i="47"/>
  <c r="G12" i="47"/>
  <c r="O101" i="47"/>
  <c r="AG34" i="47"/>
  <c r="AF30" i="47" s="1"/>
  <c r="AF33" i="47"/>
  <c r="AF34" i="47" s="1"/>
  <c r="AR66" i="47"/>
  <c r="AQ65" i="47"/>
  <c r="AA80" i="47"/>
  <c r="H33" i="47"/>
  <c r="I34" i="47"/>
  <c r="G65" i="47"/>
  <c r="G66" i="47" s="1"/>
  <c r="H66" i="47"/>
  <c r="G62" i="47" s="1"/>
  <c r="AQ17" i="47"/>
  <c r="AR18" i="47"/>
  <c r="V65" i="47"/>
  <c r="V66" i="47" s="1"/>
  <c r="W66" i="47"/>
  <c r="V62" i="47" s="1"/>
  <c r="V12" i="47"/>
  <c r="V81" i="47"/>
  <c r="M50" i="47"/>
  <c r="L46" i="47" s="1"/>
  <c r="L49" i="47"/>
  <c r="L50" i="47" s="1"/>
  <c r="C65" i="47"/>
  <c r="D66" i="47"/>
  <c r="AG49" i="47"/>
  <c r="AH50" i="47"/>
  <c r="O100" i="47"/>
  <c r="C102" i="47"/>
  <c r="O102" i="47" s="1"/>
  <c r="C49" i="47"/>
  <c r="D50" i="47"/>
  <c r="B33" i="47"/>
  <c r="B34" i="47" s="1"/>
  <c r="C34" i="47"/>
  <c r="B30" i="47" s="1"/>
  <c r="AA79" i="47"/>
  <c r="R33" i="47"/>
  <c r="S34" i="47"/>
  <c r="AL49" i="47"/>
  <c r="AM50" i="47"/>
  <c r="N17" i="47"/>
  <c r="M16" i="47"/>
  <c r="L16" i="47" s="1"/>
  <c r="AF81" i="47"/>
  <c r="C17" i="47"/>
  <c r="D18" i="47"/>
  <c r="X33" i="47"/>
  <c r="W32" i="47"/>
  <c r="V32" i="47" s="1"/>
  <c r="G49" i="47"/>
  <c r="G50" i="47" s="1"/>
  <c r="H50" i="47"/>
  <c r="G46" i="47" s="1"/>
  <c r="B80" i="47"/>
  <c r="B13" i="47"/>
  <c r="B79" i="47" s="1"/>
  <c r="Q17" i="47"/>
  <c r="Q18" i="47" s="1"/>
  <c r="R18" i="47"/>
  <c r="I34" i="44"/>
  <c r="H33" i="44"/>
  <c r="C17" i="44"/>
  <c r="D18" i="44"/>
  <c r="C102" i="44"/>
  <c r="O102" i="44" s="1"/>
  <c r="O100" i="44"/>
  <c r="B76" i="44"/>
  <c r="B77" i="44" s="1"/>
  <c r="C77" i="44"/>
  <c r="G17" i="44"/>
  <c r="G18" i="44" s="1"/>
  <c r="H18" i="44"/>
  <c r="C49" i="44"/>
  <c r="D50" i="44"/>
  <c r="G76" i="44"/>
  <c r="G77" i="44" s="1"/>
  <c r="H77" i="44"/>
  <c r="M50" i="44"/>
  <c r="L46" i="44" s="1"/>
  <c r="L49" i="44"/>
  <c r="L50" i="44" s="1"/>
  <c r="AG102" i="44"/>
  <c r="G81" i="44"/>
  <c r="G12" i="44"/>
  <c r="M18" i="44"/>
  <c r="L17" i="44"/>
  <c r="L18" i="44" s="1"/>
  <c r="M77" i="44"/>
  <c r="L76" i="44"/>
  <c r="L77" i="44" s="1"/>
  <c r="B80" i="44"/>
  <c r="B13" i="44"/>
  <c r="B79" i="44" s="1"/>
  <c r="M65" i="44"/>
  <c r="N66" i="44"/>
  <c r="G65" i="44"/>
  <c r="G66" i="44" s="1"/>
  <c r="H66" i="44"/>
  <c r="G62" i="44" s="1"/>
  <c r="L81" i="44"/>
  <c r="L12" i="44"/>
  <c r="I50" i="44"/>
  <c r="H49" i="44"/>
  <c r="N34" i="44"/>
  <c r="M33" i="44"/>
  <c r="B33" i="44"/>
  <c r="B34" i="44" s="1"/>
  <c r="C34" i="44"/>
  <c r="B30" i="44" s="1"/>
  <c r="T20" i="4"/>
  <c r="N100" i="30"/>
  <c r="N98" i="30"/>
  <c r="P99" i="30"/>
  <c r="P98" i="30"/>
  <c r="Q98" i="30"/>
  <c r="R98" i="30"/>
  <c r="S98" i="30"/>
  <c r="Q99" i="30"/>
  <c r="R99" i="30"/>
  <c r="S99" i="30"/>
  <c r="Q100" i="30"/>
  <c r="S100" i="30"/>
  <c r="S101" i="30"/>
  <c r="T98" i="30"/>
  <c r="U110" i="22"/>
  <c r="V110" i="22" s="1"/>
  <c r="W110" i="22" s="1"/>
  <c r="X110" i="22" s="1"/>
  <c r="Y110" i="22" s="1"/>
  <c r="AC16" i="22"/>
  <c r="AC15" i="22"/>
  <c r="AC14" i="22"/>
  <c r="AC13" i="22"/>
  <c r="AC12" i="22"/>
  <c r="AC11" i="22"/>
  <c r="AC10" i="22"/>
  <c r="BP41" i="4" l="1"/>
  <c r="BH17" i="4"/>
  <c r="BH53" i="4" s="1"/>
  <c r="AW17" i="4"/>
  <c r="AW53" i="4" s="1"/>
  <c r="AU17" i="4"/>
  <c r="AU53" i="4" s="1"/>
  <c r="BO17" i="4"/>
  <c r="BO53" i="4" s="1"/>
  <c r="AT17" i="4"/>
  <c r="AT53" i="4" s="1"/>
  <c r="BD17" i="4"/>
  <c r="BG17" i="4"/>
  <c r="BG53" i="4" s="1"/>
  <c r="AV17" i="4"/>
  <c r="AV53" i="4" s="1"/>
  <c r="BF17" i="4"/>
  <c r="BF53" i="4" s="1"/>
  <c r="BE17" i="4"/>
  <c r="BE53" i="4" s="1"/>
  <c r="BN17" i="4"/>
  <c r="BN53" i="4" s="1"/>
  <c r="BK17" i="4"/>
  <c r="BK53" i="4" s="1"/>
  <c r="AZ17" i="4"/>
  <c r="AZ53" i="4" s="1"/>
  <c r="BJ17" i="4"/>
  <c r="BJ53" i="4" s="1"/>
  <c r="AY17" i="4"/>
  <c r="AY53" i="4" s="1"/>
  <c r="BI17" i="4"/>
  <c r="BI53" i="4" s="1"/>
  <c r="AX17" i="4"/>
  <c r="AX53" i="4" s="1"/>
  <c r="BM17" i="4"/>
  <c r="BM53" i="4" s="1"/>
  <c r="BB17" i="4"/>
  <c r="BB53" i="4" s="1"/>
  <c r="BL17" i="4"/>
  <c r="BL53" i="4" s="1"/>
  <c r="BA17" i="4"/>
  <c r="BA53" i="4" s="1"/>
  <c r="AJ41" i="4"/>
  <c r="AS41" i="4"/>
  <c r="AR41" i="4"/>
  <c r="AI41" i="4"/>
  <c r="AH41" i="4"/>
  <c r="AG41" i="4"/>
  <c r="AP41" i="4" s="1"/>
  <c r="AQ41" i="4"/>
  <c r="BC41" i="4" s="1"/>
  <c r="AM41" i="4"/>
  <c r="AL41" i="4"/>
  <c r="AK41" i="4"/>
  <c r="AO41" i="4"/>
  <c r="AN41" i="4"/>
  <c r="BL33" i="4"/>
  <c r="BA33" i="4"/>
  <c r="AY33" i="4"/>
  <c r="AX33" i="4"/>
  <c r="BH33" i="4"/>
  <c r="AW33" i="4"/>
  <c r="BK33" i="4"/>
  <c r="AZ33" i="4"/>
  <c r="BJ33" i="4"/>
  <c r="BI33" i="4"/>
  <c r="BO33" i="4"/>
  <c r="BE33" i="4"/>
  <c r="AT33" i="4"/>
  <c r="BN33" i="4"/>
  <c r="BD33" i="4"/>
  <c r="BP33" i="4" s="1"/>
  <c r="BM33" i="4"/>
  <c r="BB33" i="4"/>
  <c r="BG33" i="4"/>
  <c r="AV33" i="4"/>
  <c r="AU33" i="4"/>
  <c r="BF33" i="4"/>
  <c r="V17" i="4"/>
  <c r="V53" i="4" s="1"/>
  <c r="X17" i="4"/>
  <c r="X53" i="4" s="1"/>
  <c r="W17" i="4"/>
  <c r="W53" i="4" s="1"/>
  <c r="Y17" i="4"/>
  <c r="Y53" i="4" s="1"/>
  <c r="Z17" i="4"/>
  <c r="Z53" i="4" s="1"/>
  <c r="AE17" i="4"/>
  <c r="AE53" i="4" s="1"/>
  <c r="T17" i="4"/>
  <c r="AD17" i="4"/>
  <c r="U17" i="4"/>
  <c r="U53" i="4" s="1"/>
  <c r="AB17" i="4"/>
  <c r="AB53" i="4" s="1"/>
  <c r="AA17" i="4"/>
  <c r="AA53" i="4" s="1"/>
  <c r="AF17" i="4"/>
  <c r="AF53" i="4" s="1"/>
  <c r="AL17" i="4"/>
  <c r="AL53" i="4" s="1"/>
  <c r="AH17" i="4"/>
  <c r="AH53" i="4" s="1"/>
  <c r="AK17" i="4"/>
  <c r="AK53" i="4" s="1"/>
  <c r="AJ17" i="4"/>
  <c r="AJ53" i="4" s="1"/>
  <c r="AI17" i="4"/>
  <c r="AI53" i="4" s="1"/>
  <c r="AS17" i="4"/>
  <c r="AS53" i="4" s="1"/>
  <c r="AO17" i="4"/>
  <c r="AO53" i="4" s="1"/>
  <c r="AN17" i="4"/>
  <c r="AN53" i="4" s="1"/>
  <c r="AM17" i="4"/>
  <c r="AM53" i="4" s="1"/>
  <c r="AR17" i="4"/>
  <c r="AR53" i="4" s="1"/>
  <c r="AG17" i="4"/>
  <c r="AG53" i="4" s="1"/>
  <c r="AQ17" i="4"/>
  <c r="AF33" i="4"/>
  <c r="U33" i="4"/>
  <c r="AD33" i="4"/>
  <c r="AB33" i="4"/>
  <c r="AA33" i="4"/>
  <c r="AE33" i="4"/>
  <c r="T33" i="4"/>
  <c r="X33" i="4"/>
  <c r="W33" i="4"/>
  <c r="V33" i="4"/>
  <c r="Z33" i="4"/>
  <c r="Y33" i="4"/>
  <c r="AC41" i="4"/>
  <c r="AQ33" i="4"/>
  <c r="AK33" i="4"/>
  <c r="AO33" i="4"/>
  <c r="AN33" i="4"/>
  <c r="AM33" i="4"/>
  <c r="AL33" i="4"/>
  <c r="AI33" i="4"/>
  <c r="AS33" i="4"/>
  <c r="AH33" i="4"/>
  <c r="AR33" i="4"/>
  <c r="AG33" i="4"/>
  <c r="AJ33" i="4"/>
  <c r="H35" i="50"/>
  <c r="L35" i="50"/>
  <c r="K35" i="50"/>
  <c r="J35" i="50"/>
  <c r="H85" i="44"/>
  <c r="Q17" i="44"/>
  <c r="Q18" i="44" s="1"/>
  <c r="R18" i="44"/>
  <c r="Q14" i="44" s="1"/>
  <c r="R85" i="44"/>
  <c r="AL85" i="47"/>
  <c r="R85" i="47"/>
  <c r="C85" i="47"/>
  <c r="AA17" i="47"/>
  <c r="AA18" i="47" s="1"/>
  <c r="AB18" i="47"/>
  <c r="AB85" i="47"/>
  <c r="AB66" i="47"/>
  <c r="AA62" i="47" s="1"/>
  <c r="AA65" i="47"/>
  <c r="AA66" i="47" s="1"/>
  <c r="C18" i="47"/>
  <c r="B17" i="47"/>
  <c r="B18" i="47" s="1"/>
  <c r="G80" i="47"/>
  <c r="G13" i="47"/>
  <c r="G79" i="47" s="1"/>
  <c r="AF65" i="47"/>
  <c r="AF66" i="47" s="1"/>
  <c r="AG66" i="47"/>
  <c r="AF62" i="47" s="1"/>
  <c r="AL34" i="47"/>
  <c r="AK30" i="47" s="1"/>
  <c r="AK33" i="47"/>
  <c r="AK34" i="47" s="1"/>
  <c r="B49" i="47"/>
  <c r="B50" i="47" s="1"/>
  <c r="C50" i="47"/>
  <c r="B46" i="47" s="1"/>
  <c r="W18" i="47"/>
  <c r="V17" i="47"/>
  <c r="V18" i="47" s="1"/>
  <c r="AK49" i="47"/>
  <c r="AK50" i="47" s="1"/>
  <c r="AL50" i="47"/>
  <c r="AK46" i="47" s="1"/>
  <c r="R66" i="47"/>
  <c r="Q62" i="47" s="1"/>
  <c r="Q65" i="47"/>
  <c r="Q66" i="47" s="1"/>
  <c r="C66" i="47"/>
  <c r="B62" i="47" s="1"/>
  <c r="B65" i="47"/>
  <c r="B66" i="47" s="1"/>
  <c r="AK17" i="47"/>
  <c r="AK18" i="47" s="1"/>
  <c r="AL18" i="47"/>
  <c r="Q14" i="47"/>
  <c r="G33" i="47"/>
  <c r="G34" i="47" s="1"/>
  <c r="H34" i="47"/>
  <c r="G30" i="47" s="1"/>
  <c r="AQ66" i="47"/>
  <c r="AP62" i="47" s="1"/>
  <c r="AP65" i="47"/>
  <c r="AP66" i="47" s="1"/>
  <c r="Q80" i="47"/>
  <c r="Q13" i="47"/>
  <c r="Q79" i="47" s="1"/>
  <c r="AQ85" i="47"/>
  <c r="AH18" i="47"/>
  <c r="AG85" i="47" s="1"/>
  <c r="AG17" i="47"/>
  <c r="M34" i="47"/>
  <c r="L30" i="47" s="1"/>
  <c r="L33" i="47"/>
  <c r="L34" i="47" s="1"/>
  <c r="N18" i="47"/>
  <c r="M85" i="47" s="1"/>
  <c r="M17" i="47"/>
  <c r="V13" i="47"/>
  <c r="V79" i="47" s="1"/>
  <c r="V80" i="47"/>
  <c r="L80" i="47"/>
  <c r="L13" i="47"/>
  <c r="L79" i="47" s="1"/>
  <c r="AP33" i="47"/>
  <c r="AP34" i="47" s="1"/>
  <c r="AQ34" i="47"/>
  <c r="AP30" i="47" s="1"/>
  <c r="W33" i="47"/>
  <c r="X34" i="47"/>
  <c r="W85" i="47" s="1"/>
  <c r="Q33" i="47"/>
  <c r="Q34" i="47" s="1"/>
  <c r="R34" i="47"/>
  <c r="Q30" i="47" s="1"/>
  <c r="AF49" i="47"/>
  <c r="AF50" i="47" s="1"/>
  <c r="AG50" i="47"/>
  <c r="AF46" i="47" s="1"/>
  <c r="AP17" i="47"/>
  <c r="AP18" i="47" s="1"/>
  <c r="AQ18" i="47"/>
  <c r="H17" i="47"/>
  <c r="I18" i="47"/>
  <c r="H85" i="47" s="1"/>
  <c r="B49" i="44"/>
  <c r="B50" i="44" s="1"/>
  <c r="C50" i="44"/>
  <c r="B46" i="44" s="1"/>
  <c r="C85" i="44"/>
  <c r="G14" i="44"/>
  <c r="L33" i="44"/>
  <c r="L34" i="44" s="1"/>
  <c r="M34" i="44"/>
  <c r="L30" i="44" s="1"/>
  <c r="M66" i="44"/>
  <c r="L62" i="44" s="1"/>
  <c r="L65" i="44"/>
  <c r="L66" i="44" s="1"/>
  <c r="M85" i="44"/>
  <c r="B17" i="44"/>
  <c r="B18" i="44" s="1"/>
  <c r="C18" i="44"/>
  <c r="L80" i="44"/>
  <c r="L13" i="44"/>
  <c r="L79" i="44" s="1"/>
  <c r="G33" i="44"/>
  <c r="G34" i="44" s="1"/>
  <c r="H34" i="44"/>
  <c r="G30" i="44" s="1"/>
  <c r="G49" i="44"/>
  <c r="G50" i="44" s="1"/>
  <c r="H50" i="44"/>
  <c r="G46" i="44" s="1"/>
  <c r="G80" i="44"/>
  <c r="G13" i="44"/>
  <c r="G79" i="44" s="1"/>
  <c r="U20" i="4"/>
  <c r="V20" i="4" s="1"/>
  <c r="W20" i="4" s="1"/>
  <c r="K100" i="30"/>
  <c r="L100" i="30"/>
  <c r="K101" i="30"/>
  <c r="P20" i="4"/>
  <c r="H5" i="9"/>
  <c r="M55" i="4"/>
  <c r="J55" i="4"/>
  <c r="G55" i="4"/>
  <c r="W55" i="4" l="1"/>
  <c r="AQ53" i="4"/>
  <c r="BC17" i="4"/>
  <c r="BD53" i="4"/>
  <c r="BP53" i="4" s="1"/>
  <c r="BP17" i="4"/>
  <c r="AC33" i="4"/>
  <c r="BQ33" i="4" s="1"/>
  <c r="AC53" i="4"/>
  <c r="BC53" i="4"/>
  <c r="AD53" i="4"/>
  <c r="AP53" i="4" s="1"/>
  <c r="AP17" i="4"/>
  <c r="BC33" i="4"/>
  <c r="BQ41" i="4"/>
  <c r="AP33" i="4"/>
  <c r="T53" i="4"/>
  <c r="AC17" i="4"/>
  <c r="M86" i="44"/>
  <c r="H86" i="44"/>
  <c r="R86" i="47"/>
  <c r="B14" i="47"/>
  <c r="C86" i="47"/>
  <c r="L17" i="47"/>
  <c r="L18" i="47" s="1"/>
  <c r="M18" i="47"/>
  <c r="R87" i="47"/>
  <c r="R88" i="47" s="1"/>
  <c r="V14" i="47"/>
  <c r="W86" i="47"/>
  <c r="AA14" i="47"/>
  <c r="AB86" i="47"/>
  <c r="AG18" i="47"/>
  <c r="AF17" i="47"/>
  <c r="AF18" i="47" s="1"/>
  <c r="H18" i="47"/>
  <c r="G17" i="47"/>
  <c r="G18" i="47" s="1"/>
  <c r="AP14" i="47"/>
  <c r="AQ86" i="47"/>
  <c r="AL86" i="47"/>
  <c r="AK14" i="47"/>
  <c r="V33" i="47"/>
  <c r="V34" i="47" s="1"/>
  <c r="W34" i="47"/>
  <c r="V30" i="47" s="1"/>
  <c r="L86" i="44"/>
  <c r="Q86" i="44" s="1"/>
  <c r="M87" i="44"/>
  <c r="M88" i="44" s="1"/>
  <c r="H87" i="44"/>
  <c r="H88" i="44" s="1"/>
  <c r="G86" i="44"/>
  <c r="B14" i="44"/>
  <c r="C86" i="44"/>
  <c r="R86" i="44"/>
  <c r="L14" i="44"/>
  <c r="X20" i="4"/>
  <c r="Y20" i="4" s="1"/>
  <c r="Z20" i="4" s="1"/>
  <c r="D9" i="4"/>
  <c r="E9" i="4"/>
  <c r="F9" i="4"/>
  <c r="G9" i="4"/>
  <c r="H9" i="4"/>
  <c r="I9" i="4"/>
  <c r="J9" i="4"/>
  <c r="K9" i="4"/>
  <c r="L9" i="4"/>
  <c r="M9" i="4"/>
  <c r="N9" i="4"/>
  <c r="O9" i="4"/>
  <c r="Q9" i="4"/>
  <c r="R9" i="4"/>
  <c r="S9" i="4"/>
  <c r="U9" i="4"/>
  <c r="V9" i="4"/>
  <c r="W9" i="4"/>
  <c r="X9" i="4"/>
  <c r="Y9" i="4"/>
  <c r="AA9" i="4"/>
  <c r="AB9" i="4"/>
  <c r="AD9" i="4"/>
  <c r="AE9" i="4"/>
  <c r="AF9" i="4"/>
  <c r="AH9" i="4"/>
  <c r="AI9" i="4"/>
  <c r="AK9" i="4"/>
  <c r="AL9" i="4"/>
  <c r="AN9" i="4"/>
  <c r="AO9" i="4"/>
  <c r="AQ9" i="4"/>
  <c r="AR9" i="4"/>
  <c r="AS9" i="4"/>
  <c r="AU9" i="4"/>
  <c r="AV9" i="4"/>
  <c r="AX9" i="4"/>
  <c r="AY9" i="4"/>
  <c r="BA9" i="4"/>
  <c r="BB9" i="4"/>
  <c r="BD9" i="4"/>
  <c r="BE9" i="4"/>
  <c r="BF9" i="4"/>
  <c r="BG9" i="4"/>
  <c r="BH9" i="4"/>
  <c r="BI9" i="4"/>
  <c r="BK9" i="4"/>
  <c r="BL9" i="4"/>
  <c r="BM9" i="4"/>
  <c r="BN9" i="4"/>
  <c r="BO9" i="4"/>
  <c r="D10" i="4"/>
  <c r="E10" i="4"/>
  <c r="F10" i="4"/>
  <c r="G10" i="4"/>
  <c r="H10" i="4"/>
  <c r="I10" i="4"/>
  <c r="J10" i="4"/>
  <c r="K10" i="4"/>
  <c r="L10" i="4"/>
  <c r="M10" i="4"/>
  <c r="N10" i="4"/>
  <c r="O10" i="4"/>
  <c r="Q10" i="4"/>
  <c r="R10" i="4"/>
  <c r="S10" i="4"/>
  <c r="U10" i="4"/>
  <c r="V10" i="4"/>
  <c r="W10" i="4"/>
  <c r="X10" i="4"/>
  <c r="Y10" i="4"/>
  <c r="AA10" i="4"/>
  <c r="AB10" i="4"/>
  <c r="AD10" i="4"/>
  <c r="AE10" i="4"/>
  <c r="AF10" i="4"/>
  <c r="AH10" i="4"/>
  <c r="AI10" i="4"/>
  <c r="AJ10" i="4"/>
  <c r="AK10" i="4"/>
  <c r="AL10" i="4"/>
  <c r="AN10" i="4"/>
  <c r="AO10" i="4"/>
  <c r="AQ10" i="4"/>
  <c r="AR10" i="4"/>
  <c r="AS10" i="4"/>
  <c r="AU10" i="4"/>
  <c r="AV10" i="4"/>
  <c r="AW10" i="4"/>
  <c r="AX10" i="4"/>
  <c r="AY10" i="4"/>
  <c r="BA10" i="4"/>
  <c r="BB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D12" i="4"/>
  <c r="E12" i="4"/>
  <c r="F12" i="4"/>
  <c r="G12" i="4"/>
  <c r="H12" i="4"/>
  <c r="I12" i="4"/>
  <c r="J12" i="4"/>
  <c r="K12" i="4"/>
  <c r="L12" i="4"/>
  <c r="M12" i="4"/>
  <c r="N12" i="4"/>
  <c r="O12" i="4"/>
  <c r="Q12" i="4"/>
  <c r="R12" i="4"/>
  <c r="S12" i="4"/>
  <c r="U12" i="4"/>
  <c r="V12" i="4"/>
  <c r="X12" i="4"/>
  <c r="Y12" i="4"/>
  <c r="AA12" i="4"/>
  <c r="AB12" i="4"/>
  <c r="AD12" i="4"/>
  <c r="AE12" i="4"/>
  <c r="AF12" i="4"/>
  <c r="AH12" i="4"/>
  <c r="AI12" i="4"/>
  <c r="AK12" i="4"/>
  <c r="AL12" i="4"/>
  <c r="AN12" i="4"/>
  <c r="AO12" i="4"/>
  <c r="AR12" i="4"/>
  <c r="AS12" i="4"/>
  <c r="AU12" i="4"/>
  <c r="AV12" i="4"/>
  <c r="AX12" i="4"/>
  <c r="AY12" i="4"/>
  <c r="BA12" i="4"/>
  <c r="BB12" i="4"/>
  <c r="BE12" i="4"/>
  <c r="BF12" i="4"/>
  <c r="BG12" i="4"/>
  <c r="BH12" i="4"/>
  <c r="BI12" i="4"/>
  <c r="BK12" i="4"/>
  <c r="BL12" i="4"/>
  <c r="BN12" i="4"/>
  <c r="P15" i="4"/>
  <c r="BJ15" i="4"/>
  <c r="BK15" i="4"/>
  <c r="BL15" i="4"/>
  <c r="BM15" i="4"/>
  <c r="BN15" i="4"/>
  <c r="BO15" i="4"/>
  <c r="D27" i="4"/>
  <c r="E27" i="4"/>
  <c r="F27" i="4"/>
  <c r="G27" i="4"/>
  <c r="H27" i="4"/>
  <c r="I27" i="4"/>
  <c r="J27" i="4"/>
  <c r="K27" i="4"/>
  <c r="L27" i="4"/>
  <c r="M27" i="4"/>
  <c r="N27" i="4"/>
  <c r="O27" i="4"/>
  <c r="Q27" i="4"/>
  <c r="R27" i="4"/>
  <c r="S27" i="4"/>
  <c r="U27" i="4"/>
  <c r="V27" i="4"/>
  <c r="W27" i="4"/>
  <c r="X27" i="4"/>
  <c r="Y27" i="4"/>
  <c r="AA27" i="4"/>
  <c r="AB27" i="4"/>
  <c r="AD27" i="4"/>
  <c r="AE27" i="4"/>
  <c r="AF27" i="4"/>
  <c r="AH27" i="4"/>
  <c r="AI27" i="4"/>
  <c r="AK27" i="4"/>
  <c r="AL27" i="4"/>
  <c r="AN27" i="4"/>
  <c r="AO27" i="4"/>
  <c r="AQ27" i="4"/>
  <c r="AR27" i="4"/>
  <c r="AS27" i="4"/>
  <c r="AU27" i="4"/>
  <c r="AV27" i="4"/>
  <c r="AX27" i="4"/>
  <c r="AY27" i="4"/>
  <c r="BA27" i="4"/>
  <c r="BB27" i="4"/>
  <c r="BD27" i="4"/>
  <c r="BE27" i="4"/>
  <c r="BF27" i="4"/>
  <c r="BG27" i="4"/>
  <c r="BH27" i="4"/>
  <c r="BI27" i="4"/>
  <c r="BK27" i="4"/>
  <c r="BL27" i="4"/>
  <c r="BM27" i="4"/>
  <c r="BN27" i="4"/>
  <c r="BO27" i="4"/>
  <c r="D28" i="4"/>
  <c r="E28" i="4"/>
  <c r="F28" i="4"/>
  <c r="G28" i="4"/>
  <c r="H28" i="4"/>
  <c r="I28" i="4"/>
  <c r="J28" i="4"/>
  <c r="K28" i="4"/>
  <c r="L28" i="4"/>
  <c r="M28" i="4"/>
  <c r="N28" i="4"/>
  <c r="O28" i="4"/>
  <c r="Q28" i="4"/>
  <c r="R28" i="4"/>
  <c r="S28" i="4"/>
  <c r="U28" i="4"/>
  <c r="V28" i="4"/>
  <c r="W28" i="4"/>
  <c r="X28" i="4"/>
  <c r="Y28" i="4"/>
  <c r="AA28" i="4"/>
  <c r="AB28" i="4"/>
  <c r="AD28" i="4"/>
  <c r="AE28" i="4"/>
  <c r="AF28" i="4"/>
  <c r="AH28" i="4"/>
  <c r="AI28" i="4"/>
  <c r="AJ28" i="4"/>
  <c r="AK28" i="4"/>
  <c r="AL28" i="4"/>
  <c r="AN28" i="4"/>
  <c r="AO28" i="4"/>
  <c r="AQ28" i="4"/>
  <c r="AR28" i="4"/>
  <c r="AS28" i="4"/>
  <c r="AU28" i="4"/>
  <c r="AV28" i="4"/>
  <c r="AW28" i="4"/>
  <c r="AX28" i="4"/>
  <c r="AY28" i="4"/>
  <c r="BA28" i="4"/>
  <c r="BB28" i="4"/>
  <c r="BD28" i="4"/>
  <c r="BE28" i="4"/>
  <c r="BF28" i="4"/>
  <c r="BG28" i="4"/>
  <c r="BH28" i="4"/>
  <c r="BI28" i="4"/>
  <c r="BJ28" i="4"/>
  <c r="BK28" i="4"/>
  <c r="BL28" i="4"/>
  <c r="BM28" i="4"/>
  <c r="BN28" i="4"/>
  <c r="BO28" i="4"/>
  <c r="D30" i="4"/>
  <c r="E30" i="4"/>
  <c r="F30" i="4"/>
  <c r="G30" i="4"/>
  <c r="H30" i="4"/>
  <c r="I30" i="4"/>
  <c r="J30" i="4"/>
  <c r="K30" i="4"/>
  <c r="L30" i="4"/>
  <c r="M30" i="4"/>
  <c r="N30" i="4"/>
  <c r="O30" i="4"/>
  <c r="Q30" i="4"/>
  <c r="R30" i="4"/>
  <c r="S30" i="4"/>
  <c r="U30" i="4"/>
  <c r="V30" i="4"/>
  <c r="X30" i="4"/>
  <c r="Y30" i="4"/>
  <c r="AA30" i="4"/>
  <c r="AB30" i="4"/>
  <c r="AD30" i="4"/>
  <c r="AE30" i="4"/>
  <c r="AF30" i="4"/>
  <c r="AH30" i="4"/>
  <c r="AI30" i="4"/>
  <c r="AK30" i="4"/>
  <c r="AL30" i="4"/>
  <c r="AN30" i="4"/>
  <c r="AO30" i="4"/>
  <c r="AR30" i="4"/>
  <c r="AS30" i="4"/>
  <c r="AU30" i="4"/>
  <c r="AV30" i="4"/>
  <c r="AX30" i="4"/>
  <c r="AY30" i="4"/>
  <c r="BA30" i="4"/>
  <c r="BB30" i="4"/>
  <c r="BE30" i="4"/>
  <c r="BF30" i="4"/>
  <c r="BG30" i="4"/>
  <c r="BH30" i="4"/>
  <c r="BI30" i="4"/>
  <c r="BK30" i="4"/>
  <c r="BL30" i="4"/>
  <c r="BN30" i="4"/>
  <c r="P32" i="4"/>
  <c r="V32" i="4"/>
  <c r="W32" i="4"/>
  <c r="Z32" i="4"/>
  <c r="AB32" i="4"/>
  <c r="AD32" i="4"/>
  <c r="AE32" i="4"/>
  <c r="AF32" i="4"/>
  <c r="AG32" i="4"/>
  <c r="AH32" i="4"/>
  <c r="AI32" i="4"/>
  <c r="AJ32" i="4"/>
  <c r="AM32" i="4"/>
  <c r="AN32" i="4"/>
  <c r="AO32" i="4"/>
  <c r="AQ32" i="4"/>
  <c r="AR32" i="4"/>
  <c r="AS32" i="4"/>
  <c r="AT32" i="4"/>
  <c r="AU32" i="4"/>
  <c r="AV32" i="4"/>
  <c r="AW32" i="4"/>
  <c r="AZ32" i="4"/>
  <c r="BA32" i="4"/>
  <c r="BB32" i="4"/>
  <c r="BD32" i="4"/>
  <c r="BE32" i="4"/>
  <c r="BF32" i="4"/>
  <c r="D35" i="4"/>
  <c r="E35" i="4"/>
  <c r="F35" i="4"/>
  <c r="G35" i="4"/>
  <c r="H35" i="4"/>
  <c r="I35" i="4"/>
  <c r="J35" i="4"/>
  <c r="K35" i="4"/>
  <c r="L35" i="4"/>
  <c r="M35" i="4"/>
  <c r="N35" i="4"/>
  <c r="O35" i="4"/>
  <c r="Q35" i="4"/>
  <c r="R35" i="4"/>
  <c r="S35" i="4"/>
  <c r="U35" i="4"/>
  <c r="V35" i="4"/>
  <c r="W35" i="4"/>
  <c r="X35" i="4"/>
  <c r="Y35" i="4"/>
  <c r="AA35" i="4"/>
  <c r="AB35" i="4"/>
  <c r="AD35" i="4"/>
  <c r="AE35" i="4"/>
  <c r="AF35" i="4"/>
  <c r="AH35" i="4"/>
  <c r="AI35" i="4"/>
  <c r="AK35" i="4"/>
  <c r="AL35" i="4"/>
  <c r="AN35" i="4"/>
  <c r="AO35" i="4"/>
  <c r="AQ35" i="4"/>
  <c r="AR35" i="4"/>
  <c r="AS35" i="4"/>
  <c r="AU35" i="4"/>
  <c r="AV35" i="4"/>
  <c r="AX35" i="4"/>
  <c r="AY35" i="4"/>
  <c r="BA35" i="4"/>
  <c r="BB35" i="4"/>
  <c r="BD35" i="4"/>
  <c r="BE35" i="4"/>
  <c r="BF35" i="4"/>
  <c r="BG35" i="4"/>
  <c r="BH35" i="4"/>
  <c r="BI35" i="4"/>
  <c r="BK35" i="4"/>
  <c r="BL35" i="4"/>
  <c r="BM35" i="4"/>
  <c r="BN35" i="4"/>
  <c r="BO35" i="4"/>
  <c r="D36" i="4"/>
  <c r="E36" i="4"/>
  <c r="F36" i="4"/>
  <c r="G36" i="4"/>
  <c r="H36" i="4"/>
  <c r="I36" i="4"/>
  <c r="J36" i="4"/>
  <c r="K36" i="4"/>
  <c r="L36" i="4"/>
  <c r="M36" i="4"/>
  <c r="N36" i="4"/>
  <c r="O36" i="4"/>
  <c r="Q36" i="4"/>
  <c r="R36" i="4"/>
  <c r="S36" i="4"/>
  <c r="U36" i="4"/>
  <c r="V36" i="4"/>
  <c r="W36" i="4"/>
  <c r="X36" i="4"/>
  <c r="Y36" i="4"/>
  <c r="AA36" i="4"/>
  <c r="AB36" i="4"/>
  <c r="AD36" i="4"/>
  <c r="AE36" i="4"/>
  <c r="AF36" i="4"/>
  <c r="AH36" i="4"/>
  <c r="AI36" i="4"/>
  <c r="AJ36" i="4"/>
  <c r="AK36" i="4"/>
  <c r="AL36" i="4"/>
  <c r="AN36" i="4"/>
  <c r="AO36" i="4"/>
  <c r="AQ36" i="4"/>
  <c r="AR36" i="4"/>
  <c r="AS36" i="4"/>
  <c r="AU36" i="4"/>
  <c r="AV36" i="4"/>
  <c r="AW36" i="4"/>
  <c r="AX36" i="4"/>
  <c r="AY36" i="4"/>
  <c r="BA36" i="4"/>
  <c r="BB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C40" i="4"/>
  <c r="E40" i="4" s="1"/>
  <c r="D47" i="4"/>
  <c r="E47" i="4"/>
  <c r="F47" i="4"/>
  <c r="G47" i="4"/>
  <c r="H47" i="4"/>
  <c r="I47" i="4"/>
  <c r="J47" i="4"/>
  <c r="K47" i="4"/>
  <c r="L47" i="4"/>
  <c r="M47" i="4"/>
  <c r="N47" i="4"/>
  <c r="O47" i="4"/>
  <c r="Q47" i="4"/>
  <c r="R47" i="4"/>
  <c r="S47" i="4"/>
  <c r="T47" i="4"/>
  <c r="V47" i="4"/>
  <c r="W47" i="4"/>
  <c r="X47" i="4"/>
  <c r="Y47" i="4"/>
  <c r="AB47" i="4"/>
  <c r="AD47" i="4"/>
  <c r="AE47" i="4"/>
  <c r="AF47" i="4"/>
  <c r="AG47" i="4"/>
  <c r="AI47" i="4"/>
  <c r="AJ47" i="4"/>
  <c r="AL47" i="4"/>
  <c r="AM47" i="4"/>
  <c r="AO47" i="4"/>
  <c r="AQ47" i="4"/>
  <c r="AR47" i="4"/>
  <c r="AS47" i="4"/>
  <c r="AT47" i="4"/>
  <c r="AV47" i="4"/>
  <c r="AW47" i="4"/>
  <c r="AY47" i="4"/>
  <c r="AZ47" i="4"/>
  <c r="BB47" i="4"/>
  <c r="BD47" i="4"/>
  <c r="BE47" i="4"/>
  <c r="BF47" i="4"/>
  <c r="BG47" i="4"/>
  <c r="BH47" i="4"/>
  <c r="BI47" i="4"/>
  <c r="BJ47" i="4"/>
  <c r="BL47" i="4"/>
  <c r="BM47" i="4"/>
  <c r="BN47" i="4"/>
  <c r="BO47" i="4"/>
  <c r="D48" i="4"/>
  <c r="E48" i="4"/>
  <c r="F48" i="4"/>
  <c r="G48" i="4"/>
  <c r="H48" i="4"/>
  <c r="I48" i="4"/>
  <c r="J48" i="4"/>
  <c r="K48" i="4"/>
  <c r="L48" i="4"/>
  <c r="M48" i="4"/>
  <c r="N48" i="4"/>
  <c r="O48" i="4"/>
  <c r="Q48" i="4"/>
  <c r="R48" i="4"/>
  <c r="S48" i="4"/>
  <c r="T48" i="4"/>
  <c r="V48" i="4"/>
  <c r="W48" i="4"/>
  <c r="X48" i="4"/>
  <c r="Y48" i="4"/>
  <c r="Z48" i="4"/>
  <c r="AB48" i="4"/>
  <c r="AD48" i="4"/>
  <c r="AE48" i="4"/>
  <c r="AF48" i="4"/>
  <c r="AG48" i="4"/>
  <c r="AI48" i="4"/>
  <c r="AJ48" i="4"/>
  <c r="AK48" i="4"/>
  <c r="AL48" i="4"/>
  <c r="AM48" i="4"/>
  <c r="AO48" i="4"/>
  <c r="AQ48" i="4"/>
  <c r="AR48" i="4"/>
  <c r="AS48" i="4"/>
  <c r="AT48" i="4"/>
  <c r="AV48" i="4"/>
  <c r="AW48" i="4"/>
  <c r="AX48" i="4"/>
  <c r="AY48" i="4"/>
  <c r="AZ48" i="4"/>
  <c r="BB48" i="4"/>
  <c r="BD48" i="4"/>
  <c r="BE48" i="4"/>
  <c r="BF48" i="4"/>
  <c r="BG48" i="4"/>
  <c r="BH48" i="4"/>
  <c r="BI48" i="4"/>
  <c r="BJ48" i="4"/>
  <c r="BK48" i="4"/>
  <c r="BL48" i="4"/>
  <c r="BM48" i="4"/>
  <c r="BN48" i="4"/>
  <c r="BO48" i="4"/>
  <c r="D50" i="4"/>
  <c r="E50" i="4"/>
  <c r="F50" i="4"/>
  <c r="H50" i="4"/>
  <c r="I50" i="4"/>
  <c r="J50" i="4"/>
  <c r="L50" i="4"/>
  <c r="M50" i="4"/>
  <c r="N50" i="4"/>
  <c r="R50" i="4"/>
  <c r="S50" i="4"/>
  <c r="V50" i="4"/>
  <c r="X50" i="4"/>
  <c r="Y50" i="4"/>
  <c r="AB50" i="4"/>
  <c r="AD50" i="4"/>
  <c r="AE50" i="4"/>
  <c r="AF50" i="4"/>
  <c r="AI50" i="4"/>
  <c r="AJ50" i="4"/>
  <c r="AL50" i="4"/>
  <c r="AM50" i="4"/>
  <c r="AO50" i="4"/>
  <c r="AQ50" i="4"/>
  <c r="AR50" i="4"/>
  <c r="AS50" i="4"/>
  <c r="AV50" i="4"/>
  <c r="AW50" i="4"/>
  <c r="AY50" i="4"/>
  <c r="AZ50" i="4"/>
  <c r="BB50" i="4"/>
  <c r="BD50" i="4"/>
  <c r="BE50" i="4"/>
  <c r="BF50" i="4"/>
  <c r="BH50" i="4"/>
  <c r="BI50" i="4"/>
  <c r="BJ50" i="4"/>
  <c r="BL50" i="4"/>
  <c r="BM50" i="4"/>
  <c r="BN50" i="4"/>
  <c r="P52" i="4"/>
  <c r="Z52" i="4"/>
  <c r="AA52" i="4"/>
  <c r="AB52" i="4"/>
  <c r="AM52" i="4"/>
  <c r="AN52" i="4"/>
  <c r="AO52" i="4"/>
  <c r="AZ52" i="4"/>
  <c r="BA52" i="4"/>
  <c r="BB52" i="4"/>
  <c r="BG52" i="4"/>
  <c r="BH52" i="4"/>
  <c r="BI52" i="4"/>
  <c r="BJ52" i="4"/>
  <c r="BK52" i="4"/>
  <c r="BL52" i="4"/>
  <c r="BM52" i="4"/>
  <c r="BN52" i="4"/>
  <c r="BO52" i="4"/>
  <c r="AC100" i="30"/>
  <c r="AD98" i="30"/>
  <c r="AC98" i="30"/>
  <c r="AD99" i="30"/>
  <c r="AA99" i="30"/>
  <c r="Y100" i="30"/>
  <c r="Z98" i="30"/>
  <c r="Y98" i="30"/>
  <c r="Z99" i="30"/>
  <c r="X99" i="30"/>
  <c r="V100" i="30"/>
  <c r="W98" i="30"/>
  <c r="V98" i="30"/>
  <c r="W99" i="30"/>
  <c r="U99" i="30"/>
  <c r="BQ17" i="4" l="1"/>
  <c r="BQ53" i="4"/>
  <c r="W87" i="47"/>
  <c r="W88" i="47" s="1"/>
  <c r="R89" i="47"/>
  <c r="AB87" i="47"/>
  <c r="AB88" i="47" s="1"/>
  <c r="M86" i="47"/>
  <c r="L14" i="47"/>
  <c r="AQ87" i="47"/>
  <c r="AQ88" i="47" s="1"/>
  <c r="H86" i="47"/>
  <c r="G14" i="47"/>
  <c r="C87" i="47"/>
  <c r="C88" i="47" s="1"/>
  <c r="B86" i="47"/>
  <c r="AL87" i="47"/>
  <c r="AL88" i="47" s="1"/>
  <c r="AG86" i="47"/>
  <c r="AF14" i="47"/>
  <c r="AI98" i="44"/>
  <c r="AJ11" i="4" s="1"/>
  <c r="AP11" i="4" s="1"/>
  <c r="H89" i="44"/>
  <c r="AI99" i="44" s="1"/>
  <c r="R87" i="44"/>
  <c r="R88" i="44" s="1"/>
  <c r="AV98" i="44"/>
  <c r="AW11" i="4" s="1"/>
  <c r="M89" i="44"/>
  <c r="AV99" i="44" s="1"/>
  <c r="AW29" i="4" s="1"/>
  <c r="B86" i="44"/>
  <c r="C87" i="44"/>
  <c r="C88" i="44" s="1"/>
  <c r="AA20" i="4"/>
  <c r="AB20" i="4" s="1"/>
  <c r="AD20" i="4" s="1"/>
  <c r="AE20" i="4" s="1"/>
  <c r="AF20" i="4" s="1"/>
  <c r="AG20" i="4" s="1"/>
  <c r="AD55" i="4"/>
  <c r="Z55" i="4"/>
  <c r="AC55" i="4" s="1"/>
  <c r="P47" i="4"/>
  <c r="BA40" i="4"/>
  <c r="P36" i="4"/>
  <c r="BC15" i="4"/>
  <c r="BP52" i="4"/>
  <c r="AC52" i="4"/>
  <c r="P48" i="4"/>
  <c r="BP36" i="4"/>
  <c r="P12" i="4"/>
  <c r="BP10" i="4"/>
  <c r="BP32" i="4"/>
  <c r="AC32" i="4"/>
  <c r="P27" i="4"/>
  <c r="AP15" i="4"/>
  <c r="W40" i="4"/>
  <c r="P10" i="4"/>
  <c r="AP52" i="4"/>
  <c r="BP48" i="4"/>
  <c r="AQ40" i="4"/>
  <c r="AG40" i="4"/>
  <c r="P35" i="4"/>
  <c r="BC32" i="4"/>
  <c r="AP32" i="4"/>
  <c r="P30" i="4"/>
  <c r="BP28" i="4"/>
  <c r="BC52" i="4"/>
  <c r="M40" i="4"/>
  <c r="P28" i="4"/>
  <c r="BK40" i="4"/>
  <c r="BP15" i="4"/>
  <c r="AC15" i="4"/>
  <c r="P9" i="4"/>
  <c r="V40" i="4"/>
  <c r="BI40" i="4"/>
  <c r="BH40" i="4"/>
  <c r="T40" i="4"/>
  <c r="BG40" i="4"/>
  <c r="AM40" i="4"/>
  <c r="S40" i="4"/>
  <c r="BL40" i="4"/>
  <c r="BB40" i="4"/>
  <c r="AR40" i="4"/>
  <c r="AH40" i="4"/>
  <c r="X40" i="4"/>
  <c r="N40" i="4"/>
  <c r="D40" i="4"/>
  <c r="AZ40" i="4"/>
  <c r="L40" i="4"/>
  <c r="U40" i="4"/>
  <c r="AN40" i="4"/>
  <c r="BO40" i="4"/>
  <c r="BE40" i="4"/>
  <c r="AU40" i="4"/>
  <c r="AK40" i="4"/>
  <c r="AA40" i="4"/>
  <c r="Q40" i="4"/>
  <c r="G40" i="4"/>
  <c r="BJ40" i="4"/>
  <c r="AF40" i="4"/>
  <c r="AO40" i="4"/>
  <c r="J40" i="4"/>
  <c r="BN40" i="4"/>
  <c r="BD40" i="4"/>
  <c r="AT40" i="4"/>
  <c r="AJ40" i="4"/>
  <c r="Z40" i="4"/>
  <c r="F40" i="4"/>
  <c r="AY40" i="4"/>
  <c r="AE40" i="4"/>
  <c r="K40" i="4"/>
  <c r="AX40" i="4"/>
  <c r="AD40" i="4"/>
  <c r="AW40" i="4"/>
  <c r="I40" i="4"/>
  <c r="BF40" i="4"/>
  <c r="AV40" i="4"/>
  <c r="AL40" i="4"/>
  <c r="AB40" i="4"/>
  <c r="R40" i="4"/>
  <c r="H40" i="4"/>
  <c r="BM40" i="4"/>
  <c r="AS40" i="4"/>
  <c r="AI40" i="4"/>
  <c r="Y40" i="4"/>
  <c r="O40" i="4"/>
  <c r="AO99" i="44" l="1"/>
  <c r="AJ29" i="4"/>
  <c r="AP29" i="4" s="1"/>
  <c r="AL89" i="47"/>
  <c r="BN98" i="47"/>
  <c r="AQ89" i="47"/>
  <c r="V98" i="47"/>
  <c r="C89" i="47"/>
  <c r="V99" i="47" s="1"/>
  <c r="AB99" i="47" s="1"/>
  <c r="W89" i="47"/>
  <c r="W90" i="47"/>
  <c r="BI100" i="47"/>
  <c r="BI102" i="47"/>
  <c r="BJ102" i="47"/>
  <c r="L86" i="47"/>
  <c r="Q86" i="47" s="1"/>
  <c r="V86" i="47" s="1"/>
  <c r="AA86" i="47" s="1"/>
  <c r="AF86" i="47" s="1"/>
  <c r="AK86" i="47" s="1"/>
  <c r="AP86" i="47" s="1"/>
  <c r="M87" i="47"/>
  <c r="M88" i="47" s="1"/>
  <c r="H87" i="47"/>
  <c r="H88" i="47" s="1"/>
  <c r="G86" i="47"/>
  <c r="AG87" i="47"/>
  <c r="AG88" i="47" s="1"/>
  <c r="AB89" i="47"/>
  <c r="AB90" i="47"/>
  <c r="R90" i="47"/>
  <c r="AC20" i="4"/>
  <c r="V98" i="44"/>
  <c r="W11" i="4" s="1"/>
  <c r="AC11" i="4" s="1"/>
  <c r="C89" i="44"/>
  <c r="V99" i="44" s="1"/>
  <c r="BI98" i="44"/>
  <c r="BJ11" i="4" s="1"/>
  <c r="R89" i="44"/>
  <c r="BI99" i="44" s="1"/>
  <c r="BJ29" i="4" s="1"/>
  <c r="M90" i="44"/>
  <c r="AV100" i="44"/>
  <c r="AW101" i="44"/>
  <c r="H90" i="44"/>
  <c r="AO98" i="44"/>
  <c r="AI100" i="44"/>
  <c r="AJ101" i="44"/>
  <c r="AK49" i="4" s="1"/>
  <c r="AP49" i="4" s="1"/>
  <c r="AG55" i="4"/>
  <c r="BQ32" i="4"/>
  <c r="BQ52" i="4"/>
  <c r="BQ15" i="4"/>
  <c r="AH20" i="4"/>
  <c r="AI20" i="4" s="1"/>
  <c r="AJ20" i="4" s="1"/>
  <c r="AC40" i="4"/>
  <c r="P40" i="4"/>
  <c r="BC40" i="4"/>
  <c r="BP40" i="4"/>
  <c r="AP40" i="4"/>
  <c r="AW102" i="44" l="1"/>
  <c r="AX49" i="4"/>
  <c r="AV102" i="44"/>
  <c r="AW37" i="4"/>
  <c r="AO100" i="44"/>
  <c r="AJ37" i="4"/>
  <c r="AP37" i="4" s="1"/>
  <c r="AB99" i="44"/>
  <c r="W29" i="4"/>
  <c r="AC29" i="4" s="1"/>
  <c r="C90" i="47"/>
  <c r="M89" i="47"/>
  <c r="BB98" i="47"/>
  <c r="V100" i="47"/>
  <c r="AB100" i="47" s="1"/>
  <c r="AB98" i="47"/>
  <c r="V102" i="47"/>
  <c r="AY100" i="47"/>
  <c r="AY102" i="47" s="1"/>
  <c r="AZ102" i="47"/>
  <c r="AP100" i="47"/>
  <c r="BB99" i="47"/>
  <c r="BN99" i="47"/>
  <c r="BO99" i="47"/>
  <c r="BO98" i="47"/>
  <c r="BC100" i="47"/>
  <c r="AS100" i="47"/>
  <c r="AT102" i="47"/>
  <c r="AL90" i="47"/>
  <c r="AG89" i="47"/>
  <c r="AG90" i="47" s="1"/>
  <c r="AQ90" i="47"/>
  <c r="BN100" i="47"/>
  <c r="H89" i="47"/>
  <c r="AO99" i="47" s="1"/>
  <c r="BL100" i="47"/>
  <c r="BL102" i="47"/>
  <c r="AS99" i="44"/>
  <c r="AT29" i="4" s="1"/>
  <c r="AS98" i="44"/>
  <c r="AT11" i="4" s="1"/>
  <c r="BL98" i="44"/>
  <c r="BM11" i="4" s="1"/>
  <c r="BL99" i="44"/>
  <c r="BM29" i="4" s="1"/>
  <c r="BI100" i="44"/>
  <c r="BJ37" i="4" s="1"/>
  <c r="BJ101" i="44"/>
  <c r="AY99" i="44"/>
  <c r="AZ29" i="4" s="1"/>
  <c r="AY98" i="44"/>
  <c r="AZ11" i="4" s="1"/>
  <c r="BN98" i="44"/>
  <c r="BO11" i="4" s="1"/>
  <c r="AP98" i="44"/>
  <c r="AQ11" i="4" s="1"/>
  <c r="BC98" i="44"/>
  <c r="BD11" i="4" s="1"/>
  <c r="AI102" i="44"/>
  <c r="R90" i="44"/>
  <c r="AJ102" i="44"/>
  <c r="AO101" i="44"/>
  <c r="C90" i="44"/>
  <c r="V100" i="44"/>
  <c r="V102" i="44" s="1"/>
  <c r="AB98" i="44"/>
  <c r="Y101" i="44"/>
  <c r="Z49" i="4" s="1"/>
  <c r="AC49" i="4" s="1"/>
  <c r="AJ55" i="4"/>
  <c r="BQ40" i="4"/>
  <c r="AK20" i="4"/>
  <c r="BP11" i="4" l="1"/>
  <c r="BC11" i="4"/>
  <c r="BQ11" i="4" s="1"/>
  <c r="BJ102" i="44"/>
  <c r="BK49" i="4"/>
  <c r="BI102" i="44"/>
  <c r="AB100" i="44"/>
  <c r="W37" i="4"/>
  <c r="AC37" i="4" s="1"/>
  <c r="BC102" i="47"/>
  <c r="BN102" i="47"/>
  <c r="BP99" i="47"/>
  <c r="AS102" i="47"/>
  <c r="AV100" i="47"/>
  <c r="BB100" i="47" s="1"/>
  <c r="AW102" i="47"/>
  <c r="BO100" i="47"/>
  <c r="AP102" i="47"/>
  <c r="Y102" i="47"/>
  <c r="AB102" i="47" s="1"/>
  <c r="AB101" i="47"/>
  <c r="H90" i="47"/>
  <c r="AO98" i="47"/>
  <c r="BP98" i="47" s="1"/>
  <c r="AI100" i="47"/>
  <c r="AO100" i="47" s="1"/>
  <c r="BO101" i="47"/>
  <c r="BF102" i="47"/>
  <c r="M90" i="47"/>
  <c r="BO98" i="44"/>
  <c r="BC100" i="44"/>
  <c r="BD37" i="4" s="1"/>
  <c r="BF101" i="44"/>
  <c r="BG49" i="4" s="1"/>
  <c r="AO102" i="44"/>
  <c r="AP100" i="44"/>
  <c r="AQ37" i="4" s="1"/>
  <c r="AS101" i="44"/>
  <c r="AT49" i="4" s="1"/>
  <c r="BB98" i="44"/>
  <c r="AP99" i="44"/>
  <c r="BC99" i="44"/>
  <c r="BD29" i="4" s="1"/>
  <c r="BN99" i="44"/>
  <c r="BO29" i="4" s="1"/>
  <c r="AS100" i="44"/>
  <c r="AT101" i="44"/>
  <c r="Y102" i="44"/>
  <c r="AB102" i="44" s="1"/>
  <c r="AB101" i="44"/>
  <c r="BL100" i="44"/>
  <c r="BN101" i="44"/>
  <c r="BO49" i="4" s="1"/>
  <c r="BN100" i="44"/>
  <c r="AY100" i="44"/>
  <c r="AZ37" i="4" s="1"/>
  <c r="AZ101" i="44"/>
  <c r="AL20" i="4"/>
  <c r="AM20" i="4" s="1"/>
  <c r="BO102" i="47" l="1"/>
  <c r="AP102" i="44"/>
  <c r="BN102" i="44"/>
  <c r="BO37" i="4"/>
  <c r="BP49" i="4"/>
  <c r="BP98" i="44"/>
  <c r="BP29" i="4"/>
  <c r="BB99" i="44"/>
  <c r="AQ29" i="4"/>
  <c r="BC29" i="4" s="1"/>
  <c r="BL102" i="44"/>
  <c r="BM37" i="4"/>
  <c r="AY102" i="44"/>
  <c r="AZ102" i="44"/>
  <c r="BA49" i="4"/>
  <c r="AT102" i="44"/>
  <c r="AU49" i="4"/>
  <c r="AS102" i="44"/>
  <c r="AT37" i="4"/>
  <c r="BC37" i="4" s="1"/>
  <c r="BP100" i="47"/>
  <c r="AI102" i="47"/>
  <c r="AV102" i="47"/>
  <c r="BB102" i="47" s="1"/>
  <c r="AJ102" i="47"/>
  <c r="AO101" i="47"/>
  <c r="BB101" i="47"/>
  <c r="BO99" i="44"/>
  <c r="BB101" i="44"/>
  <c r="BB100" i="44"/>
  <c r="BO101" i="44"/>
  <c r="BF102" i="44"/>
  <c r="BO100" i="44"/>
  <c r="BC102" i="44"/>
  <c r="AM55" i="4"/>
  <c r="AP55" i="4" s="1"/>
  <c r="AN20" i="4"/>
  <c r="BP37" i="4" l="1"/>
  <c r="BQ29" i="4"/>
  <c r="BB102" i="44"/>
  <c r="BO102" i="44"/>
  <c r="BQ37" i="4"/>
  <c r="BP99" i="44"/>
  <c r="BC49" i="4"/>
  <c r="BQ49" i="4" s="1"/>
  <c r="BP101" i="44"/>
  <c r="BP102" i="44"/>
  <c r="BP101" i="47"/>
  <c r="AO102" i="47"/>
  <c r="BP102" i="47" s="1"/>
  <c r="BP100" i="44"/>
  <c r="AO20" i="4"/>
  <c r="AQ20" i="4" s="1"/>
  <c r="AQ55" i="4" l="1"/>
  <c r="AP20" i="4"/>
  <c r="AR20" i="4"/>
  <c r="AS20" i="4" s="1"/>
  <c r="AT20" i="4" s="1"/>
  <c r="AT55" i="4" l="1"/>
  <c r="AU20" i="4"/>
  <c r="AV20" i="4" l="1"/>
  <c r="AW20" i="4" s="1"/>
  <c r="AW55" i="4"/>
  <c r="AX20" i="4" l="1"/>
  <c r="AY20" i="4" l="1"/>
  <c r="AZ20" i="4" s="1"/>
  <c r="AZ55" i="4" l="1"/>
  <c r="BC55" i="4" s="1"/>
  <c r="BA20" i="4"/>
  <c r="BB20" i="4" l="1"/>
  <c r="BC20" i="4"/>
  <c r="BD20" i="4" l="1"/>
  <c r="BD55" i="4"/>
  <c r="BE20" i="4" l="1"/>
  <c r="BF20" i="4" s="1"/>
  <c r="BG20" i="4" s="1"/>
  <c r="BH20" i="4" s="1"/>
  <c r="BI20" i="4" s="1"/>
  <c r="BJ20" i="4" s="1"/>
  <c r="BK20" i="4" s="1"/>
  <c r="BL20" i="4" s="1"/>
  <c r="BM20" i="4" s="1"/>
  <c r="BN20" i="4" s="1"/>
  <c r="BO20" i="4" s="1"/>
  <c r="BP20" i="4" l="1"/>
  <c r="BQ20" i="4" s="1"/>
  <c r="T99" i="30"/>
  <c r="I100" i="30" l="1"/>
  <c r="J100" i="30"/>
  <c r="G79" i="4"/>
  <c r="BT72" i="30" l="1"/>
  <c r="BT71" i="30"/>
  <c r="BU69" i="30"/>
  <c r="BU76" i="30" s="1"/>
  <c r="BT59" i="30"/>
  <c r="BT58" i="30"/>
  <c r="BT56" i="30"/>
  <c r="BT55" i="30"/>
  <c r="BT57" i="30" s="1"/>
  <c r="BT60" i="30" s="1"/>
  <c r="BT61" i="30" s="1"/>
  <c r="BU53" i="30"/>
  <c r="BV64" i="30" s="1"/>
  <c r="BT43" i="30"/>
  <c r="BT42" i="30"/>
  <c r="BT40" i="30"/>
  <c r="BT39" i="30"/>
  <c r="BU37" i="30"/>
  <c r="BT27" i="30"/>
  <c r="BT26" i="30"/>
  <c r="BT24" i="30"/>
  <c r="BT23" i="30"/>
  <c r="BT25" i="30" s="1"/>
  <c r="BT28" i="30" s="1"/>
  <c r="BT29" i="30" s="1"/>
  <c r="BU21" i="30"/>
  <c r="BV32" i="30" s="1"/>
  <c r="BT11" i="30"/>
  <c r="BT10" i="30"/>
  <c r="BT8" i="30"/>
  <c r="BT7" i="30"/>
  <c r="BU5" i="30"/>
  <c r="BO72" i="30"/>
  <c r="BO71" i="30"/>
  <c r="BO73" i="30" s="1"/>
  <c r="BP69" i="30"/>
  <c r="BQ76" i="30" s="1"/>
  <c r="BQ77" i="30" s="1"/>
  <c r="BO74" i="30" s="1"/>
  <c r="BO59" i="30"/>
  <c r="BO58" i="30"/>
  <c r="BO56" i="30"/>
  <c r="BO57" i="30" s="1"/>
  <c r="BO60" i="30" s="1"/>
  <c r="BO61" i="30" s="1"/>
  <c r="BO55" i="30"/>
  <c r="BP53" i="30"/>
  <c r="BO43" i="30"/>
  <c r="BO42" i="30"/>
  <c r="BO40" i="30"/>
  <c r="BO39" i="30"/>
  <c r="BP37" i="30"/>
  <c r="BO27" i="30"/>
  <c r="BO26" i="30"/>
  <c r="BO24" i="30"/>
  <c r="BQ21" i="30" s="1"/>
  <c r="BO23" i="30"/>
  <c r="BO25" i="30" s="1"/>
  <c r="BO28" i="30" s="1"/>
  <c r="BO29" i="30" s="1"/>
  <c r="BP21" i="30"/>
  <c r="BO11" i="30"/>
  <c r="BO10" i="30"/>
  <c r="BO8" i="30"/>
  <c r="BO7" i="30"/>
  <c r="BP5" i="30"/>
  <c r="BQ5" i="30" s="1"/>
  <c r="BJ72" i="30"/>
  <c r="BJ71" i="30"/>
  <c r="BK69" i="30"/>
  <c r="BK76" i="30" s="1"/>
  <c r="BK77" i="30" s="1"/>
  <c r="BJ59" i="30"/>
  <c r="BJ58" i="30"/>
  <c r="BJ56" i="30"/>
  <c r="BJ55" i="30"/>
  <c r="BK53" i="30"/>
  <c r="BJ43" i="30"/>
  <c r="BJ42" i="30"/>
  <c r="BJ40" i="30"/>
  <c r="BJ39" i="30"/>
  <c r="BJ41" i="30" s="1"/>
  <c r="BJ44" i="30" s="1"/>
  <c r="BJ45" i="30" s="1"/>
  <c r="BK37" i="30"/>
  <c r="BL37" i="30" s="1"/>
  <c r="BJ27" i="30"/>
  <c r="BJ26" i="30"/>
  <c r="BJ24" i="30"/>
  <c r="BJ23" i="30"/>
  <c r="BK21" i="30"/>
  <c r="BJ11" i="30"/>
  <c r="BJ10" i="30"/>
  <c r="BJ8" i="30"/>
  <c r="BJ7" i="30"/>
  <c r="BJ82" i="30" s="1"/>
  <c r="BK5" i="30"/>
  <c r="BL5" i="30" s="1"/>
  <c r="BT3" i="30"/>
  <c r="BS3" i="30"/>
  <c r="BO3" i="30"/>
  <c r="BN3" i="30"/>
  <c r="BJ3" i="30"/>
  <c r="BI3" i="30"/>
  <c r="BV76" i="30"/>
  <c r="BV77" i="30" s="1"/>
  <c r="BT74" i="30" s="1"/>
  <c r="BL76" i="30"/>
  <c r="BT73" i="30"/>
  <c r="BJ57" i="30"/>
  <c r="BJ60" i="30" s="1"/>
  <c r="BJ61" i="30" s="1"/>
  <c r="BQ64" i="30"/>
  <c r="BL53" i="30"/>
  <c r="BV49" i="30"/>
  <c r="BV50" i="30" s="1"/>
  <c r="BV48" i="30"/>
  <c r="BT41" i="30"/>
  <c r="BT44" i="30" s="1"/>
  <c r="BO41" i="30"/>
  <c r="BO44" i="30" s="1"/>
  <c r="BO45" i="30" s="1"/>
  <c r="BV37" i="30"/>
  <c r="BQ48" i="30"/>
  <c r="BQ32" i="30"/>
  <c r="BJ25" i="30"/>
  <c r="BJ28" i="30" s="1"/>
  <c r="BL32" i="30"/>
  <c r="BO9" i="30"/>
  <c r="BO12" i="30" s="1"/>
  <c r="BJ9" i="30"/>
  <c r="BJ12" i="30" s="1"/>
  <c r="BT9" i="30"/>
  <c r="BV16" i="30"/>
  <c r="BE72" i="30"/>
  <c r="BE71" i="30"/>
  <c r="BE73" i="30" s="1"/>
  <c r="BF69" i="30"/>
  <c r="BG76" i="30" s="1"/>
  <c r="BG77" i="30" s="1"/>
  <c r="BE74" i="30" s="1"/>
  <c r="BE59" i="30"/>
  <c r="BE58" i="30"/>
  <c r="BE56" i="30"/>
  <c r="BE55" i="30"/>
  <c r="BF53" i="30"/>
  <c r="BG53" i="30" s="1"/>
  <c r="BE43" i="30"/>
  <c r="BE42" i="30"/>
  <c r="BE40" i="30"/>
  <c r="BE39" i="30"/>
  <c r="BE41" i="30" s="1"/>
  <c r="BE44" i="30" s="1"/>
  <c r="BE45" i="30" s="1"/>
  <c r="BF37" i="30"/>
  <c r="BG48" i="30" s="1"/>
  <c r="BE27" i="30"/>
  <c r="BE26" i="30"/>
  <c r="BE24" i="30"/>
  <c r="BE23" i="30"/>
  <c r="BF21" i="30"/>
  <c r="BE11" i="30"/>
  <c r="BE10" i="30"/>
  <c r="BE8" i="30"/>
  <c r="BE7" i="30"/>
  <c r="BE82" i="30" s="1"/>
  <c r="BF5" i="30"/>
  <c r="BG16" i="30" s="1"/>
  <c r="AZ72" i="30"/>
  <c r="AZ73" i="30" s="1"/>
  <c r="AZ71" i="30"/>
  <c r="BA69" i="30"/>
  <c r="AZ56" i="30"/>
  <c r="AZ55" i="30"/>
  <c r="AZ42" i="30"/>
  <c r="AZ43" i="30"/>
  <c r="BA53" i="30"/>
  <c r="BB64" i="30" s="1"/>
  <c r="AZ40" i="30"/>
  <c r="AZ39" i="30"/>
  <c r="BA37" i="30"/>
  <c r="AZ27" i="30"/>
  <c r="AZ26" i="30"/>
  <c r="AZ24" i="30"/>
  <c r="AZ23" i="30"/>
  <c r="AZ25" i="30" s="1"/>
  <c r="BA21" i="30"/>
  <c r="BB32" i="30" s="1"/>
  <c r="BB33" i="30" s="1"/>
  <c r="AZ11" i="30"/>
  <c r="AZ10" i="30"/>
  <c r="AZ8" i="30"/>
  <c r="AZ7" i="30"/>
  <c r="AZ9" i="30" s="1"/>
  <c r="AZ12" i="30" s="1"/>
  <c r="BA5" i="30"/>
  <c r="BB5" i="30" s="1"/>
  <c r="AU72" i="30"/>
  <c r="AU71" i="30"/>
  <c r="AV69" i="30"/>
  <c r="AU59" i="30"/>
  <c r="AU58" i="30"/>
  <c r="AU56" i="30"/>
  <c r="AU55" i="30"/>
  <c r="AU57" i="30" s="1"/>
  <c r="AU60" i="30" s="1"/>
  <c r="AU61" i="30" s="1"/>
  <c r="AV53" i="30"/>
  <c r="AW53" i="30" s="1"/>
  <c r="AU43" i="30"/>
  <c r="AU42" i="30"/>
  <c r="AU40" i="30"/>
  <c r="AU39" i="30"/>
  <c r="AV37" i="30"/>
  <c r="AU27" i="30"/>
  <c r="AU26" i="30"/>
  <c r="AU24" i="30"/>
  <c r="AU23" i="30"/>
  <c r="AU25" i="30" s="1"/>
  <c r="AU28" i="30" s="1"/>
  <c r="AU29" i="30" s="1"/>
  <c r="AV21" i="30"/>
  <c r="AW32" i="30" s="1"/>
  <c r="AU11" i="30"/>
  <c r="AU10" i="30"/>
  <c r="AU8" i="30"/>
  <c r="AU7" i="30"/>
  <c r="AV5" i="30"/>
  <c r="AW5" i="30" s="1"/>
  <c r="BE3" i="30"/>
  <c r="BD3" i="30"/>
  <c r="AT3" i="30"/>
  <c r="AY3" i="30"/>
  <c r="AZ3" i="30"/>
  <c r="AU3" i="30"/>
  <c r="BB76" i="30"/>
  <c r="BB77" i="30" s="1"/>
  <c r="BA76" i="30"/>
  <c r="BA77" i="30" s="1"/>
  <c r="AU73" i="30"/>
  <c r="AW76" i="30"/>
  <c r="AW77" i="30" s="1"/>
  <c r="AZ59" i="30"/>
  <c r="AZ58" i="30"/>
  <c r="BE57" i="30"/>
  <c r="BE60" i="30" s="1"/>
  <c r="BE61" i="30" s="1"/>
  <c r="AZ57" i="30"/>
  <c r="AW48" i="30"/>
  <c r="AW49" i="30" s="1"/>
  <c r="AU41" i="30"/>
  <c r="AU44" i="30" s="1"/>
  <c r="BB48" i="30"/>
  <c r="AW37" i="30"/>
  <c r="BG32" i="30"/>
  <c r="BG21" i="30"/>
  <c r="BE25" i="30"/>
  <c r="AU9" i="30"/>
  <c r="AZ82" i="30" l="1"/>
  <c r="AW64" i="30"/>
  <c r="AW65" i="30" s="1"/>
  <c r="AZ60" i="30"/>
  <c r="AZ61" i="30" s="1"/>
  <c r="BE9" i="30"/>
  <c r="BE12" i="30" s="1"/>
  <c r="BE13" i="30" s="1"/>
  <c r="BT45" i="30"/>
  <c r="BL16" i="30"/>
  <c r="BB16" i="30"/>
  <c r="BJ29" i="30"/>
  <c r="AU45" i="30"/>
  <c r="BG64" i="30"/>
  <c r="AW16" i="30"/>
  <c r="AW17" i="30" s="1"/>
  <c r="AW18" i="30" s="1"/>
  <c r="BQ33" i="30"/>
  <c r="BQ34" i="30" s="1"/>
  <c r="BQ49" i="30"/>
  <c r="BV33" i="30"/>
  <c r="BJ81" i="30"/>
  <c r="BO81" i="30"/>
  <c r="BT81" i="30"/>
  <c r="BT12" i="30"/>
  <c r="BO80" i="30"/>
  <c r="BQ65" i="30"/>
  <c r="BJ80" i="30"/>
  <c r="BU77" i="30"/>
  <c r="BV17" i="30"/>
  <c r="BL33" i="30"/>
  <c r="BV65" i="30"/>
  <c r="BQ53" i="30"/>
  <c r="BQ16" i="30"/>
  <c r="BO82" i="30"/>
  <c r="BT82" i="30"/>
  <c r="BV5" i="30"/>
  <c r="BQ37" i="30"/>
  <c r="BJ73" i="30"/>
  <c r="BP76" i="30"/>
  <c r="BV21" i="30"/>
  <c r="BL64" i="30"/>
  <c r="BL77" i="30"/>
  <c r="BO13" i="30"/>
  <c r="BO79" i="30" s="1"/>
  <c r="BL48" i="30"/>
  <c r="BV53" i="30"/>
  <c r="BL21" i="30"/>
  <c r="BJ13" i="30"/>
  <c r="AZ74" i="30"/>
  <c r="AZ41" i="30"/>
  <c r="AZ44" i="30" s="1"/>
  <c r="AZ45" i="30" s="1"/>
  <c r="BB21" i="30"/>
  <c r="BB49" i="30"/>
  <c r="AW33" i="30"/>
  <c r="BG17" i="30"/>
  <c r="AZ28" i="30"/>
  <c r="AZ29" i="30" s="1"/>
  <c r="AZ81" i="30"/>
  <c r="BB34" i="30"/>
  <c r="AW66" i="30"/>
  <c r="AZ13" i="30"/>
  <c r="BG49" i="30"/>
  <c r="BB17" i="30"/>
  <c r="BG65" i="30"/>
  <c r="AU12" i="30"/>
  <c r="AU81" i="30"/>
  <c r="BE28" i="30"/>
  <c r="BE29" i="30" s="1"/>
  <c r="BE81" i="30"/>
  <c r="AW50" i="30"/>
  <c r="AU74" i="30"/>
  <c r="BB65" i="30"/>
  <c r="AV76" i="30"/>
  <c r="BG33" i="30"/>
  <c r="BB53" i="30"/>
  <c r="BG5" i="30"/>
  <c r="BE80" i="30"/>
  <c r="BB37" i="30"/>
  <c r="AW21" i="30"/>
  <c r="BG37" i="30"/>
  <c r="BF76" i="30"/>
  <c r="AU82" i="30"/>
  <c r="BL17" i="30" l="1"/>
  <c r="BE79" i="30"/>
  <c r="BJ79" i="30"/>
  <c r="BJ74" i="30"/>
  <c r="BV66" i="30"/>
  <c r="BL34" i="30"/>
  <c r="BL49" i="30"/>
  <c r="BQ17" i="30"/>
  <c r="BP77" i="30"/>
  <c r="BT80" i="30"/>
  <c r="BT13" i="30"/>
  <c r="BT79" i="30" s="1"/>
  <c r="BV18" i="30"/>
  <c r="BL65" i="30"/>
  <c r="BV34" i="30"/>
  <c r="BQ66" i="30"/>
  <c r="BQ50" i="30"/>
  <c r="AZ79" i="30"/>
  <c r="AZ80" i="30"/>
  <c r="BG50" i="30"/>
  <c r="BG18" i="30"/>
  <c r="BB66" i="30"/>
  <c r="BG34" i="30"/>
  <c r="BF77" i="30"/>
  <c r="AV77" i="30"/>
  <c r="AU13" i="30"/>
  <c r="AU79" i="30" s="1"/>
  <c r="AU80" i="30"/>
  <c r="AW34" i="30"/>
  <c r="AV85" i="30" s="1"/>
  <c r="BB18" i="30"/>
  <c r="BG66" i="30"/>
  <c r="BB50" i="30"/>
  <c r="D40" i="23"/>
  <c r="E40" i="23"/>
  <c r="F40" i="23"/>
  <c r="G40" i="23"/>
  <c r="C37" i="23"/>
  <c r="C40" i="23"/>
  <c r="C23" i="23"/>
  <c r="C24" i="23"/>
  <c r="C25" i="23"/>
  <c r="C26" i="23"/>
  <c r="C28" i="23"/>
  <c r="C8" i="23"/>
  <c r="D8" i="23"/>
  <c r="E8" i="23"/>
  <c r="F8" i="23"/>
  <c r="G8" i="23"/>
  <c r="C9" i="23"/>
  <c r="C10" i="23"/>
  <c r="C11" i="23"/>
  <c r="C12" i="23"/>
  <c r="D12" i="23"/>
  <c r="E12" i="23"/>
  <c r="F12" i="23"/>
  <c r="G12" i="23"/>
  <c r="C13" i="23"/>
  <c r="D13" i="23"/>
  <c r="E13" i="23"/>
  <c r="F13" i="23"/>
  <c r="G13" i="23"/>
  <c r="C14" i="23"/>
  <c r="D14" i="23"/>
  <c r="E14" i="23"/>
  <c r="F14" i="23"/>
  <c r="G14" i="23"/>
  <c r="G7" i="39"/>
  <c r="B101" i="40"/>
  <c r="B100" i="40"/>
  <c r="G89" i="40"/>
  <c r="B89" i="40"/>
  <c r="L89" i="40" s="1"/>
  <c r="Q89" i="40" s="1"/>
  <c r="V89" i="40" s="1"/>
  <c r="AA89" i="40" s="1"/>
  <c r="AF89" i="40" s="1"/>
  <c r="AK89" i="40" s="1"/>
  <c r="AP89" i="40" s="1"/>
  <c r="G87" i="40"/>
  <c r="B87" i="40"/>
  <c r="L87" i="40" s="1"/>
  <c r="Q87" i="40" s="1"/>
  <c r="V87" i="40" s="1"/>
  <c r="AA87" i="40" s="1"/>
  <c r="AF87" i="40" s="1"/>
  <c r="AK87" i="40" s="1"/>
  <c r="AP87" i="40" s="1"/>
  <c r="AP72" i="40"/>
  <c r="AK72" i="40"/>
  <c r="AF72" i="40"/>
  <c r="AA72" i="40"/>
  <c r="V72" i="40"/>
  <c r="Q72" i="40"/>
  <c r="L72" i="40"/>
  <c r="G72" i="40"/>
  <c r="B72" i="40"/>
  <c r="AP71" i="40"/>
  <c r="AK71" i="40"/>
  <c r="AF71" i="40"/>
  <c r="AA71" i="40"/>
  <c r="V71" i="40"/>
  <c r="Q71" i="40"/>
  <c r="L71" i="40"/>
  <c r="G71" i="40"/>
  <c r="B71" i="40"/>
  <c r="AQ69" i="40"/>
  <c r="AQ76" i="40" s="1"/>
  <c r="AP76" i="40" s="1"/>
  <c r="AL69" i="40"/>
  <c r="AL76" i="40" s="1"/>
  <c r="AG69" i="40"/>
  <c r="AG76" i="40" s="1"/>
  <c r="AB69" i="40"/>
  <c r="W69" i="40"/>
  <c r="W76" i="40" s="1"/>
  <c r="V76" i="40" s="1"/>
  <c r="R69" i="40"/>
  <c r="S76" i="40" s="1"/>
  <c r="M69" i="40"/>
  <c r="H69" i="40"/>
  <c r="C69" i="40"/>
  <c r="D76" i="40" s="1"/>
  <c r="AP59" i="40"/>
  <c r="AK59" i="40"/>
  <c r="AF59" i="40"/>
  <c r="AA59" i="40"/>
  <c r="V59" i="40"/>
  <c r="Q59" i="40"/>
  <c r="L59" i="40"/>
  <c r="G59" i="40"/>
  <c r="B59" i="40"/>
  <c r="AP58" i="40"/>
  <c r="AK58" i="40"/>
  <c r="AF58" i="40"/>
  <c r="AA58" i="40"/>
  <c r="V58" i="40"/>
  <c r="Q58" i="40"/>
  <c r="L58" i="40"/>
  <c r="G58" i="40"/>
  <c r="B58" i="40"/>
  <c r="AP56" i="40"/>
  <c r="AK56" i="40"/>
  <c r="AF56" i="40"/>
  <c r="AA56" i="40"/>
  <c r="V56" i="40"/>
  <c r="Q56" i="40"/>
  <c r="L56" i="40"/>
  <c r="G56" i="40"/>
  <c r="B56" i="40"/>
  <c r="AP55" i="40"/>
  <c r="AP57" i="40" s="1"/>
  <c r="AP60" i="40" s="1"/>
  <c r="AP61" i="40" s="1"/>
  <c r="AK55" i="40"/>
  <c r="AF55" i="40"/>
  <c r="AA55" i="40"/>
  <c r="V55" i="40"/>
  <c r="Q55" i="40"/>
  <c r="L55" i="40"/>
  <c r="G55" i="40"/>
  <c r="B55" i="40"/>
  <c r="AQ53" i="40"/>
  <c r="AR53" i="40" s="1"/>
  <c r="AL53" i="40"/>
  <c r="AM64" i="40" s="1"/>
  <c r="AG53" i="40"/>
  <c r="AB53" i="40"/>
  <c r="W53" i="40"/>
  <c r="R53" i="40"/>
  <c r="M53" i="40"/>
  <c r="H53" i="40"/>
  <c r="C53" i="40"/>
  <c r="D64" i="40" s="1"/>
  <c r="C64" i="40" s="1"/>
  <c r="AP43" i="40"/>
  <c r="AK43" i="40"/>
  <c r="AF43" i="40"/>
  <c r="AA43" i="40"/>
  <c r="V43" i="40"/>
  <c r="Q43" i="40"/>
  <c r="L43" i="40"/>
  <c r="G43" i="40"/>
  <c r="B43" i="40"/>
  <c r="AP42" i="40"/>
  <c r="AK42" i="40"/>
  <c r="AF42" i="40"/>
  <c r="AA42" i="40"/>
  <c r="V42" i="40"/>
  <c r="Q42" i="40"/>
  <c r="L42" i="40"/>
  <c r="G42" i="40"/>
  <c r="B42" i="40"/>
  <c r="AP40" i="40"/>
  <c r="AR37" i="40" s="1"/>
  <c r="AK40" i="40"/>
  <c r="AF40" i="40"/>
  <c r="AA40" i="40"/>
  <c r="V40" i="40"/>
  <c r="Q40" i="40"/>
  <c r="L40" i="40"/>
  <c r="G40" i="40"/>
  <c r="B40" i="40"/>
  <c r="AP39" i="40"/>
  <c r="AK39" i="40"/>
  <c r="AF39" i="40"/>
  <c r="AA39" i="40"/>
  <c r="AA41" i="40" s="1"/>
  <c r="V39" i="40"/>
  <c r="Q39" i="40"/>
  <c r="L39" i="40"/>
  <c r="G39" i="40"/>
  <c r="B39" i="40"/>
  <c r="AQ37" i="40"/>
  <c r="AR48" i="40" s="1"/>
  <c r="AQ48" i="40" s="1"/>
  <c r="AL37" i="40"/>
  <c r="AM48" i="40" s="1"/>
  <c r="AL48" i="40" s="1"/>
  <c r="AG37" i="40"/>
  <c r="AB37" i="40"/>
  <c r="AC48" i="40" s="1"/>
  <c r="AB48" i="40" s="1"/>
  <c r="W37" i="40"/>
  <c r="X48" i="40" s="1"/>
  <c r="R37" i="40"/>
  <c r="S48" i="40" s="1"/>
  <c r="R48" i="40" s="1"/>
  <c r="M37" i="40"/>
  <c r="H37" i="40"/>
  <c r="C37" i="40"/>
  <c r="AP27" i="40"/>
  <c r="AK27" i="40"/>
  <c r="AF27" i="40"/>
  <c r="AA27" i="40"/>
  <c r="V27" i="40"/>
  <c r="Q27" i="40"/>
  <c r="L27" i="40"/>
  <c r="G27" i="40"/>
  <c r="B27" i="40"/>
  <c r="AP26" i="40"/>
  <c r="AK26" i="40"/>
  <c r="AF26" i="40"/>
  <c r="AA26" i="40"/>
  <c r="V26" i="40"/>
  <c r="Q26" i="40"/>
  <c r="L26" i="40"/>
  <c r="G26" i="40"/>
  <c r="B26" i="40"/>
  <c r="AP24" i="40"/>
  <c r="AK24" i="40"/>
  <c r="AF24" i="40"/>
  <c r="AA24" i="40"/>
  <c r="V24" i="40"/>
  <c r="V25" i="40" s="1"/>
  <c r="Q24" i="40"/>
  <c r="Q25" i="40" s="1"/>
  <c r="L24" i="40"/>
  <c r="G24" i="40"/>
  <c r="B24" i="40"/>
  <c r="AP23" i="40"/>
  <c r="AK23" i="40"/>
  <c r="AF23" i="40"/>
  <c r="AA23" i="40"/>
  <c r="V23" i="40"/>
  <c r="Q23" i="40"/>
  <c r="L23" i="40"/>
  <c r="G23" i="40"/>
  <c r="B23" i="40"/>
  <c r="AQ21" i="40"/>
  <c r="AR32" i="40" s="1"/>
  <c r="AQ32" i="40" s="1"/>
  <c r="AL21" i="40"/>
  <c r="AM32" i="40" s="1"/>
  <c r="AG21" i="40"/>
  <c r="AH32" i="40" s="1"/>
  <c r="AG32" i="40" s="1"/>
  <c r="AB21" i="40"/>
  <c r="AC32" i="40" s="1"/>
  <c r="W21" i="40"/>
  <c r="X32" i="40" s="1"/>
  <c r="W32" i="40" s="1"/>
  <c r="V32" i="40" s="1"/>
  <c r="R21" i="40"/>
  <c r="M21" i="40"/>
  <c r="N32" i="40" s="1"/>
  <c r="M32" i="40" s="1"/>
  <c r="H21" i="40"/>
  <c r="I32" i="40" s="1"/>
  <c r="H32" i="40" s="1"/>
  <c r="G32" i="40" s="1"/>
  <c r="C21" i="40"/>
  <c r="D32" i="40" s="1"/>
  <c r="C32" i="40" s="1"/>
  <c r="B32" i="40" s="1"/>
  <c r="AP11" i="40"/>
  <c r="AK11" i="40"/>
  <c r="AF11" i="40"/>
  <c r="AA11" i="40"/>
  <c r="V11" i="40"/>
  <c r="Q11" i="40"/>
  <c r="L11" i="40"/>
  <c r="G11" i="40"/>
  <c r="B11" i="40"/>
  <c r="AP10" i="40"/>
  <c r="AK10" i="40"/>
  <c r="AF10" i="40"/>
  <c r="AA10" i="40"/>
  <c r="V10" i="40"/>
  <c r="Q10" i="40"/>
  <c r="L10" i="40"/>
  <c r="G10" i="40"/>
  <c r="B10" i="40"/>
  <c r="AP8" i="40"/>
  <c r="AK8" i="40"/>
  <c r="AF8" i="40"/>
  <c r="AA8" i="40"/>
  <c r="V8" i="40"/>
  <c r="Q8" i="40"/>
  <c r="L8" i="40"/>
  <c r="G8" i="40"/>
  <c r="B8" i="40"/>
  <c r="AP7" i="40"/>
  <c r="AK7" i="40"/>
  <c r="AF7" i="40"/>
  <c r="AA7" i="40"/>
  <c r="V7" i="40"/>
  <c r="Q7" i="40"/>
  <c r="L7" i="40"/>
  <c r="G7" i="40"/>
  <c r="B7" i="40"/>
  <c r="AQ5" i="40"/>
  <c r="AL5" i="40"/>
  <c r="AM16" i="40" s="1"/>
  <c r="AG5" i="40"/>
  <c r="AH16" i="40" s="1"/>
  <c r="AG16" i="40" s="1"/>
  <c r="AF16" i="40" s="1"/>
  <c r="AB5" i="40"/>
  <c r="AC16" i="40" s="1"/>
  <c r="AB16" i="40" s="1"/>
  <c r="W5" i="40"/>
  <c r="R5" i="40"/>
  <c r="S16" i="40" s="1"/>
  <c r="R16" i="40" s="1"/>
  <c r="M5" i="40"/>
  <c r="N16" i="40" s="1"/>
  <c r="M16" i="40" s="1"/>
  <c r="L16" i="40" s="1"/>
  <c r="H5" i="40"/>
  <c r="I16" i="40" s="1"/>
  <c r="H16" i="40" s="1"/>
  <c r="C5" i="40"/>
  <c r="D16" i="40" s="1"/>
  <c r="C16" i="40" s="1"/>
  <c r="AP3" i="40"/>
  <c r="AO3" i="40"/>
  <c r="AK3" i="40"/>
  <c r="AJ3" i="40"/>
  <c r="AF3" i="40"/>
  <c r="AE3" i="40"/>
  <c r="AA3" i="40"/>
  <c r="Z3" i="40"/>
  <c r="V3" i="40"/>
  <c r="U3" i="40"/>
  <c r="Q3" i="40"/>
  <c r="P3" i="40"/>
  <c r="L3" i="40"/>
  <c r="K3" i="40"/>
  <c r="G3" i="40"/>
  <c r="F3" i="40"/>
  <c r="B3" i="40"/>
  <c r="A3" i="40"/>
  <c r="R76" i="40"/>
  <c r="V73" i="40"/>
  <c r="Q73" i="40"/>
  <c r="AH64" i="40"/>
  <c r="AG64" i="40" s="1"/>
  <c r="X16" i="40"/>
  <c r="W16" i="40" s="1"/>
  <c r="B101" i="38"/>
  <c r="B100" i="38"/>
  <c r="BK100" i="38" s="1"/>
  <c r="G89" i="38"/>
  <c r="B89" i="38"/>
  <c r="AK76" i="38" s="1"/>
  <c r="AK77" i="38" s="1"/>
  <c r="G87" i="38"/>
  <c r="B87" i="38"/>
  <c r="AP72" i="38"/>
  <c r="AK72" i="38"/>
  <c r="AF72" i="38"/>
  <c r="AA72" i="38"/>
  <c r="AA73" i="38" s="1"/>
  <c r="V72" i="38"/>
  <c r="V73" i="38" s="1"/>
  <c r="Q72" i="38"/>
  <c r="L72" i="38"/>
  <c r="G72" i="38"/>
  <c r="G73" i="38" s="1"/>
  <c r="B72" i="38"/>
  <c r="AP71" i="38"/>
  <c r="AK71" i="38"/>
  <c r="AF71" i="38"/>
  <c r="AA71" i="38"/>
  <c r="V71" i="38"/>
  <c r="Q71" i="38"/>
  <c r="L71" i="38"/>
  <c r="G71" i="38"/>
  <c r="B71" i="38"/>
  <c r="AQ69" i="38"/>
  <c r="AL69" i="38"/>
  <c r="AG69" i="38"/>
  <c r="AB69" i="38"/>
  <c r="AC76" i="38" s="1"/>
  <c r="W69" i="38"/>
  <c r="W76" i="38" s="1"/>
  <c r="R69" i="38"/>
  <c r="S76" i="38" s="1"/>
  <c r="M69" i="38"/>
  <c r="M76" i="38" s="1"/>
  <c r="H69" i="38"/>
  <c r="I76" i="38" s="1"/>
  <c r="C69" i="38"/>
  <c r="D76" i="38" s="1"/>
  <c r="AP59" i="38"/>
  <c r="AK59" i="38"/>
  <c r="AF59" i="38"/>
  <c r="AA59" i="38"/>
  <c r="V59" i="38"/>
  <c r="Q59" i="38"/>
  <c r="L59" i="38"/>
  <c r="G59" i="38"/>
  <c r="B59" i="38"/>
  <c r="AP58" i="38"/>
  <c r="AK58" i="38"/>
  <c r="AF58" i="38"/>
  <c r="AA58" i="38"/>
  <c r="V58" i="38"/>
  <c r="Q58" i="38"/>
  <c r="L58" i="38"/>
  <c r="G58" i="38"/>
  <c r="B58" i="38"/>
  <c r="AP56" i="38"/>
  <c r="AK56" i="38"/>
  <c r="AF56" i="38"/>
  <c r="AA56" i="38"/>
  <c r="V56" i="38"/>
  <c r="Q56" i="38"/>
  <c r="L56" i="38"/>
  <c r="G56" i="38"/>
  <c r="B56" i="38"/>
  <c r="AP55" i="38"/>
  <c r="AP57" i="38" s="1"/>
  <c r="AP60" i="38" s="1"/>
  <c r="AK55" i="38"/>
  <c r="AK57" i="38" s="1"/>
  <c r="AF55" i="38"/>
  <c r="AA55" i="38"/>
  <c r="V55" i="38"/>
  <c r="Q55" i="38"/>
  <c r="L55" i="38"/>
  <c r="G55" i="38"/>
  <c r="B55" i="38"/>
  <c r="AQ53" i="38"/>
  <c r="AR64" i="38" s="1"/>
  <c r="AQ64" i="38" s="1"/>
  <c r="AL53" i="38"/>
  <c r="AG53" i="38"/>
  <c r="AB53" i="38"/>
  <c r="AC64" i="38" s="1"/>
  <c r="AB64" i="38" s="1"/>
  <c r="W53" i="38"/>
  <c r="X53" i="38" s="1"/>
  <c r="R53" i="38"/>
  <c r="S53" i="38" s="1"/>
  <c r="M53" i="38"/>
  <c r="N53" i="38" s="1"/>
  <c r="H53" i="38"/>
  <c r="C53" i="38"/>
  <c r="AP43" i="38"/>
  <c r="AK43" i="38"/>
  <c r="AF43" i="38"/>
  <c r="AA43" i="38"/>
  <c r="V43" i="38"/>
  <c r="Q43" i="38"/>
  <c r="L43" i="38"/>
  <c r="G43" i="38"/>
  <c r="B43" i="38"/>
  <c r="AP42" i="38"/>
  <c r="AK42" i="38"/>
  <c r="AF42" i="38"/>
  <c r="AA42" i="38"/>
  <c r="V42" i="38"/>
  <c r="Q42" i="38"/>
  <c r="L42" i="38"/>
  <c r="G42" i="38"/>
  <c r="B42" i="38"/>
  <c r="AP40" i="38"/>
  <c r="AK40" i="38"/>
  <c r="AF40" i="38"/>
  <c r="AH37" i="38" s="1"/>
  <c r="AA40" i="38"/>
  <c r="V40" i="38"/>
  <c r="Q40" i="38"/>
  <c r="L40" i="38"/>
  <c r="G40" i="38"/>
  <c r="B40" i="38"/>
  <c r="AP39" i="38"/>
  <c r="AK39" i="38"/>
  <c r="AK41" i="38" s="1"/>
  <c r="AK44" i="38" s="1"/>
  <c r="AK45" i="38" s="1"/>
  <c r="AF39" i="38"/>
  <c r="AA39" i="38"/>
  <c r="V39" i="38"/>
  <c r="Q39" i="38"/>
  <c r="L39" i="38"/>
  <c r="G39" i="38"/>
  <c r="B39" i="38"/>
  <c r="AQ37" i="38"/>
  <c r="AL37" i="38"/>
  <c r="AM48" i="38" s="1"/>
  <c r="AM49" i="38" s="1"/>
  <c r="AL49" i="38" s="1"/>
  <c r="AG37" i="38"/>
  <c r="AH48" i="38" s="1"/>
  <c r="AH49" i="38" s="1"/>
  <c r="AG49" i="38" s="1"/>
  <c r="AB37" i="38"/>
  <c r="W37" i="38"/>
  <c r="R37" i="38"/>
  <c r="M37" i="38"/>
  <c r="N48" i="38" s="1"/>
  <c r="H37" i="38"/>
  <c r="I48" i="38" s="1"/>
  <c r="H48" i="38" s="1"/>
  <c r="C37" i="38"/>
  <c r="D48" i="38" s="1"/>
  <c r="C48" i="38" s="1"/>
  <c r="AP27" i="38"/>
  <c r="AK27" i="38"/>
  <c r="AF27" i="38"/>
  <c r="AA27" i="38"/>
  <c r="V27" i="38"/>
  <c r="Q27" i="38"/>
  <c r="L27" i="38"/>
  <c r="G27" i="38"/>
  <c r="B27" i="38"/>
  <c r="AP26" i="38"/>
  <c r="AK26" i="38"/>
  <c r="AF26" i="38"/>
  <c r="AA26" i="38"/>
  <c r="V26" i="38"/>
  <c r="Q26" i="38"/>
  <c r="L26" i="38"/>
  <c r="G26" i="38"/>
  <c r="B26" i="38"/>
  <c r="AP24" i="38"/>
  <c r="AK24" i="38"/>
  <c r="AF24" i="38"/>
  <c r="AA24" i="38"/>
  <c r="AC21" i="38" s="1"/>
  <c r="V24" i="38"/>
  <c r="Q24" i="38"/>
  <c r="L24" i="38"/>
  <c r="G24" i="38"/>
  <c r="B24" i="38"/>
  <c r="AP23" i="38"/>
  <c r="AK23" i="38"/>
  <c r="AF23" i="38"/>
  <c r="AA23" i="38"/>
  <c r="V23" i="38"/>
  <c r="Q23" i="38"/>
  <c r="Q25" i="38" s="1"/>
  <c r="Q28" i="38" s="1"/>
  <c r="Q29" i="38" s="1"/>
  <c r="L23" i="38"/>
  <c r="L25" i="38" s="1"/>
  <c r="G23" i="38"/>
  <c r="B23" i="38"/>
  <c r="B25" i="38" s="1"/>
  <c r="AQ21" i="38"/>
  <c r="AR32" i="38" s="1"/>
  <c r="AQ32" i="38" s="1"/>
  <c r="AP32" i="38" s="1"/>
  <c r="AL21" i="38"/>
  <c r="AM21" i="38" s="1"/>
  <c r="AG21" i="38"/>
  <c r="AH32" i="38" s="1"/>
  <c r="AG32" i="38" s="1"/>
  <c r="AB21" i="38"/>
  <c r="AC32" i="38" s="1"/>
  <c r="W21" i="38"/>
  <c r="X32" i="38" s="1"/>
  <c r="X33" i="38" s="1"/>
  <c r="W33" i="38" s="1"/>
  <c r="R21" i="38"/>
  <c r="S32" i="38" s="1"/>
  <c r="M21" i="38"/>
  <c r="H21" i="38"/>
  <c r="I32" i="38" s="1"/>
  <c r="H32" i="38" s="1"/>
  <c r="C21" i="38"/>
  <c r="D32" i="38" s="1"/>
  <c r="C32" i="38" s="1"/>
  <c r="AP11" i="38"/>
  <c r="AK11" i="38"/>
  <c r="AF11" i="38"/>
  <c r="AA11" i="38"/>
  <c r="V11" i="38"/>
  <c r="Q11" i="38"/>
  <c r="L11" i="38"/>
  <c r="G11" i="38"/>
  <c r="B11" i="38"/>
  <c r="AP10" i="38"/>
  <c r="AK10" i="38"/>
  <c r="AF10" i="38"/>
  <c r="AA10" i="38"/>
  <c r="V10" i="38"/>
  <c r="Q10" i="38"/>
  <c r="L10" i="38"/>
  <c r="G10" i="38"/>
  <c r="B10" i="38"/>
  <c r="AP8" i="38"/>
  <c r="AK8" i="38"/>
  <c r="AF8" i="38"/>
  <c r="AA8" i="38"/>
  <c r="V8" i="38"/>
  <c r="Q8" i="38"/>
  <c r="L8" i="38"/>
  <c r="G8" i="38"/>
  <c r="B8" i="38"/>
  <c r="AP7" i="38"/>
  <c r="AK7" i="38"/>
  <c r="AF7" i="38"/>
  <c r="AF82" i="38" s="1"/>
  <c r="AA7" i="38"/>
  <c r="V7" i="38"/>
  <c r="Q7" i="38"/>
  <c r="L7" i="38"/>
  <c r="G7" i="38"/>
  <c r="B7" i="38"/>
  <c r="AQ5" i="38"/>
  <c r="AR16" i="38" s="1"/>
  <c r="AQ16" i="38" s="1"/>
  <c r="AL5" i="38"/>
  <c r="AM16" i="38" s="1"/>
  <c r="AL16" i="38" s="1"/>
  <c r="AG5" i="38"/>
  <c r="AH16" i="38" s="1"/>
  <c r="AH17" i="38" s="1"/>
  <c r="AG17" i="38" s="1"/>
  <c r="AB5" i="38"/>
  <c r="AC16" i="38" s="1"/>
  <c r="AB16" i="38" s="1"/>
  <c r="W5" i="38"/>
  <c r="X16" i="38" s="1"/>
  <c r="R5" i="38"/>
  <c r="M5" i="38"/>
  <c r="H5" i="38"/>
  <c r="C5" i="38"/>
  <c r="D16" i="38" s="1"/>
  <c r="AP3" i="38"/>
  <c r="AO3" i="38"/>
  <c r="AK3" i="38"/>
  <c r="AJ3" i="38"/>
  <c r="AF3" i="38"/>
  <c r="AE3" i="38"/>
  <c r="AA3" i="38"/>
  <c r="Z3" i="38"/>
  <c r="V3" i="38"/>
  <c r="U3" i="38"/>
  <c r="Q3" i="38"/>
  <c r="P3" i="38"/>
  <c r="L3" i="38"/>
  <c r="K3" i="38"/>
  <c r="G3" i="38"/>
  <c r="F3" i="38"/>
  <c r="B3" i="38"/>
  <c r="A3" i="38"/>
  <c r="BM100" i="38"/>
  <c r="BM102" i="38" s="1"/>
  <c r="BA100" i="38"/>
  <c r="BA102" i="38" s="1"/>
  <c r="AX100" i="38"/>
  <c r="AW100" i="38"/>
  <c r="AU100" i="38"/>
  <c r="AU102" i="38" s="1"/>
  <c r="AJ100" i="38"/>
  <c r="AH100" i="38"/>
  <c r="AH102" i="38" s="1"/>
  <c r="AG100" i="38"/>
  <c r="AE100" i="38"/>
  <c r="AE102" i="38" s="1"/>
  <c r="U100" i="38"/>
  <c r="U102" i="38" s="1"/>
  <c r="T100" i="38"/>
  <c r="R100" i="38"/>
  <c r="Q100" i="38"/>
  <c r="H100" i="38"/>
  <c r="H102" i="38" s="1"/>
  <c r="G100" i="38"/>
  <c r="G102" i="38" s="1"/>
  <c r="F100" i="38"/>
  <c r="E100" i="38"/>
  <c r="E102" i="38" s="1"/>
  <c r="O99" i="38"/>
  <c r="O98" i="38"/>
  <c r="L87" i="38"/>
  <c r="Q87" i="38" s="1"/>
  <c r="V87" i="38" s="1"/>
  <c r="AA87" i="38" s="1"/>
  <c r="AF87" i="38" s="1"/>
  <c r="AK87" i="38" s="1"/>
  <c r="AP87" i="38" s="1"/>
  <c r="AQ76" i="38"/>
  <c r="AQ77" i="38" s="1"/>
  <c r="AM76" i="38"/>
  <c r="AM77" i="38" s="1"/>
  <c r="AK74" i="38" s="1"/>
  <c r="AL76" i="38"/>
  <c r="AL77" i="38" s="1"/>
  <c r="AB76" i="38"/>
  <c r="AP73" i="38"/>
  <c r="AK73" i="38"/>
  <c r="AR76" i="38"/>
  <c r="AR77" i="38" s="1"/>
  <c r="R76" i="38"/>
  <c r="AF57" i="38"/>
  <c r="AF60" i="38" s="1"/>
  <c r="AP41" i="38"/>
  <c r="AP44" i="38" s="1"/>
  <c r="AP45" i="38" s="1"/>
  <c r="AF41" i="38"/>
  <c r="AF44" i="38" s="1"/>
  <c r="AF45" i="38" s="1"/>
  <c r="AR37" i="38"/>
  <c r="AR48" i="38"/>
  <c r="AQ48" i="38" s="1"/>
  <c r="AM37" i="38"/>
  <c r="AM32" i="38"/>
  <c r="AL32" i="38" s="1"/>
  <c r="AK25" i="38"/>
  <c r="AP25" i="38"/>
  <c r="AP28" i="38" s="1"/>
  <c r="AP29" i="38" s="1"/>
  <c r="I16" i="38"/>
  <c r="L9" i="38"/>
  <c r="L12" i="38" s="1"/>
  <c r="L13" i="38" s="1"/>
  <c r="B9" i="38"/>
  <c r="AC5" i="38"/>
  <c r="AK82" i="38"/>
  <c r="N5" i="38"/>
  <c r="N16" i="38"/>
  <c r="N17" i="38" s="1"/>
  <c r="M17" i="38" s="1"/>
  <c r="M18" i="38" s="1"/>
  <c r="G7" i="37"/>
  <c r="P101" i="36"/>
  <c r="S101" i="36"/>
  <c r="Z47" i="4"/>
  <c r="B101" i="36"/>
  <c r="Q101" i="36" s="1"/>
  <c r="AF101" i="36"/>
  <c r="N101" i="36"/>
  <c r="J101" i="36"/>
  <c r="F101" i="36"/>
  <c r="B100" i="36"/>
  <c r="G89" i="36"/>
  <c r="B89" i="36"/>
  <c r="G87" i="36"/>
  <c r="B87" i="36"/>
  <c r="L87" i="36" s="1"/>
  <c r="Q87" i="36" s="1"/>
  <c r="V87" i="36" s="1"/>
  <c r="AA87" i="36" s="1"/>
  <c r="AF87" i="36" s="1"/>
  <c r="AK87" i="36" s="1"/>
  <c r="AP87" i="36" s="1"/>
  <c r="AP72" i="36"/>
  <c r="AK72" i="36"/>
  <c r="AF72" i="36"/>
  <c r="AA72" i="36"/>
  <c r="AA73" i="36" s="1"/>
  <c r="V72" i="36"/>
  <c r="Q72" i="36"/>
  <c r="L72" i="36"/>
  <c r="L73" i="36" s="1"/>
  <c r="G72" i="36"/>
  <c r="B72" i="36"/>
  <c r="AP71" i="36"/>
  <c r="AK71" i="36"/>
  <c r="AF71" i="36"/>
  <c r="AF73" i="36" s="1"/>
  <c r="AA71" i="36"/>
  <c r="V71" i="36"/>
  <c r="Q71" i="36"/>
  <c r="L71" i="36"/>
  <c r="G71" i="36"/>
  <c r="B71" i="36"/>
  <c r="AQ69" i="36"/>
  <c r="AL69" i="36"/>
  <c r="AG69" i="36"/>
  <c r="AH76" i="36" s="1"/>
  <c r="AH77" i="36" s="1"/>
  <c r="AB69" i="36"/>
  <c r="W69" i="36"/>
  <c r="X76" i="36" s="1"/>
  <c r="R69" i="36"/>
  <c r="S76" i="36" s="1"/>
  <c r="M69" i="36"/>
  <c r="N76" i="36" s="1"/>
  <c r="H69" i="36"/>
  <c r="I76" i="36" s="1"/>
  <c r="I77" i="36" s="1"/>
  <c r="C69" i="36"/>
  <c r="D76" i="36" s="1"/>
  <c r="D77" i="36" s="1"/>
  <c r="AP59" i="36"/>
  <c r="AK59" i="36"/>
  <c r="AF59" i="36"/>
  <c r="AA59" i="36"/>
  <c r="V59" i="36"/>
  <c r="Q59" i="36"/>
  <c r="L59" i="36"/>
  <c r="G59" i="36"/>
  <c r="B59" i="36"/>
  <c r="AP58" i="36"/>
  <c r="AK58" i="36"/>
  <c r="AF58" i="36"/>
  <c r="AA58" i="36"/>
  <c r="V58" i="36"/>
  <c r="Q58" i="36"/>
  <c r="L58" i="36"/>
  <c r="G58" i="36"/>
  <c r="B58" i="36"/>
  <c r="AP56" i="36"/>
  <c r="AK56" i="36"/>
  <c r="AF56" i="36"/>
  <c r="AA56" i="36"/>
  <c r="V56" i="36"/>
  <c r="Q56" i="36"/>
  <c r="L56" i="36"/>
  <c r="G56" i="36"/>
  <c r="B56" i="36"/>
  <c r="B57" i="36" s="1"/>
  <c r="AP55" i="36"/>
  <c r="AK55" i="36"/>
  <c r="AF55" i="36"/>
  <c r="AF57" i="36" s="1"/>
  <c r="AF60" i="36" s="1"/>
  <c r="AA55" i="36"/>
  <c r="AA57" i="36" s="1"/>
  <c r="AA60" i="36" s="1"/>
  <c r="AA61" i="36" s="1"/>
  <c r="V55" i="36"/>
  <c r="V57" i="36" s="1"/>
  <c r="V60" i="36" s="1"/>
  <c r="V61" i="36" s="1"/>
  <c r="Q55" i="36"/>
  <c r="L55" i="36"/>
  <c r="G55" i="36"/>
  <c r="B55" i="36"/>
  <c r="AQ53" i="36"/>
  <c r="AR64" i="36" s="1"/>
  <c r="AQ64" i="36" s="1"/>
  <c r="AL53" i="36"/>
  <c r="AM64" i="36" s="1"/>
  <c r="AG53" i="36"/>
  <c r="AB53" i="36"/>
  <c r="AC53" i="36" s="1"/>
  <c r="W53" i="36"/>
  <c r="X64" i="36" s="1"/>
  <c r="W64" i="36" s="1"/>
  <c r="R53" i="36"/>
  <c r="S64" i="36" s="1"/>
  <c r="R64" i="36" s="1"/>
  <c r="M53" i="36"/>
  <c r="N64" i="36" s="1"/>
  <c r="M64" i="36" s="1"/>
  <c r="H53" i="36"/>
  <c r="C53" i="36"/>
  <c r="D64" i="36" s="1"/>
  <c r="C64" i="36" s="1"/>
  <c r="AP43" i="36"/>
  <c r="AK43" i="36"/>
  <c r="AF43" i="36"/>
  <c r="AA43" i="36"/>
  <c r="V43" i="36"/>
  <c r="Q43" i="36"/>
  <c r="L43" i="36"/>
  <c r="G43" i="36"/>
  <c r="B43" i="36"/>
  <c r="AP42" i="36"/>
  <c r="AK42" i="36"/>
  <c r="AF42" i="36"/>
  <c r="AA42" i="36"/>
  <c r="V42" i="36"/>
  <c r="Q42" i="36"/>
  <c r="L42" i="36"/>
  <c r="G42" i="36"/>
  <c r="B42" i="36"/>
  <c r="AP40" i="36"/>
  <c r="AK40" i="36"/>
  <c r="AF40" i="36"/>
  <c r="AA40" i="36"/>
  <c r="AA41" i="36" s="1"/>
  <c r="AA44" i="36" s="1"/>
  <c r="V40" i="36"/>
  <c r="Q40" i="36"/>
  <c r="S37" i="36" s="1"/>
  <c r="L40" i="36"/>
  <c r="G40" i="36"/>
  <c r="B40" i="36"/>
  <c r="AP39" i="36"/>
  <c r="AP41" i="36" s="1"/>
  <c r="AP44" i="36" s="1"/>
  <c r="AP45" i="36" s="1"/>
  <c r="AK39" i="36"/>
  <c r="AF39" i="36"/>
  <c r="AA39" i="36"/>
  <c r="V39" i="36"/>
  <c r="Q39" i="36"/>
  <c r="L39" i="36"/>
  <c r="G39" i="36"/>
  <c r="B39" i="36"/>
  <c r="AQ37" i="36"/>
  <c r="AL37" i="36"/>
  <c r="AM37" i="36" s="1"/>
  <c r="AG37" i="36"/>
  <c r="AB37" i="36"/>
  <c r="AC48" i="36" s="1"/>
  <c r="AB48" i="36" s="1"/>
  <c r="W37" i="36"/>
  <c r="R37" i="36"/>
  <c r="M37" i="36"/>
  <c r="N48" i="36" s="1"/>
  <c r="H37" i="36"/>
  <c r="C37" i="36"/>
  <c r="D48" i="36" s="1"/>
  <c r="C48" i="36" s="1"/>
  <c r="AP27" i="36"/>
  <c r="AK27" i="36"/>
  <c r="AF27" i="36"/>
  <c r="AA27" i="36"/>
  <c r="V27" i="36"/>
  <c r="Q27" i="36"/>
  <c r="L27" i="36"/>
  <c r="G27" i="36"/>
  <c r="B27" i="36"/>
  <c r="AP26" i="36"/>
  <c r="AK26" i="36"/>
  <c r="AF26" i="36"/>
  <c r="AA26" i="36"/>
  <c r="V26" i="36"/>
  <c r="Q26" i="36"/>
  <c r="L26" i="36"/>
  <c r="G26" i="36"/>
  <c r="B26" i="36"/>
  <c r="AP24" i="36"/>
  <c r="AP25" i="36" s="1"/>
  <c r="AK24" i="36"/>
  <c r="AF24" i="36"/>
  <c r="AH21" i="36" s="1"/>
  <c r="AA24" i="36"/>
  <c r="V24" i="36"/>
  <c r="Q24" i="36"/>
  <c r="L24" i="36"/>
  <c r="G24" i="36"/>
  <c r="B24" i="36"/>
  <c r="AP23" i="36"/>
  <c r="AK23" i="36"/>
  <c r="AF23" i="36"/>
  <c r="AA23" i="36"/>
  <c r="V23" i="36"/>
  <c r="Q23" i="36"/>
  <c r="L23" i="36"/>
  <c r="G23" i="36"/>
  <c r="G25" i="36" s="1"/>
  <c r="B23" i="36"/>
  <c r="AQ21" i="36"/>
  <c r="AR32" i="36" s="1"/>
  <c r="AR33" i="36" s="1"/>
  <c r="AL21" i="36"/>
  <c r="AG21" i="36"/>
  <c r="AH32" i="36" s="1"/>
  <c r="AB21" i="36"/>
  <c r="AC32" i="36" s="1"/>
  <c r="AB32" i="36" s="1"/>
  <c r="W21" i="36"/>
  <c r="X32" i="36" s="1"/>
  <c r="R21" i="36"/>
  <c r="S32" i="36" s="1"/>
  <c r="R32" i="36" s="1"/>
  <c r="M21" i="36"/>
  <c r="N32" i="36" s="1"/>
  <c r="H21" i="36"/>
  <c r="C21" i="36"/>
  <c r="D32" i="36" s="1"/>
  <c r="C32" i="36" s="1"/>
  <c r="AP11" i="36"/>
  <c r="AK11" i="36"/>
  <c r="AF11" i="36"/>
  <c r="AA11" i="36"/>
  <c r="V11" i="36"/>
  <c r="Q11" i="36"/>
  <c r="L11" i="36"/>
  <c r="G11" i="36"/>
  <c r="B11" i="36"/>
  <c r="AP10" i="36"/>
  <c r="AK10" i="36"/>
  <c r="AF10" i="36"/>
  <c r="AA10" i="36"/>
  <c r="V10" i="36"/>
  <c r="Q10" i="36"/>
  <c r="L10" i="36"/>
  <c r="G10" i="36"/>
  <c r="B10" i="36"/>
  <c r="AP8" i="36"/>
  <c r="AK8" i="36"/>
  <c r="AF8" i="36"/>
  <c r="AH5" i="36" s="1"/>
  <c r="AA8" i="36"/>
  <c r="AC5" i="36" s="1"/>
  <c r="V8" i="36"/>
  <c r="Q8" i="36"/>
  <c r="S5" i="36" s="1"/>
  <c r="L8" i="36"/>
  <c r="G8" i="36"/>
  <c r="B8" i="36"/>
  <c r="AP7" i="36"/>
  <c r="AK7" i="36"/>
  <c r="AF7" i="36"/>
  <c r="AA7" i="36"/>
  <c r="V7" i="36"/>
  <c r="V9" i="36" s="1"/>
  <c r="V12" i="36" s="1"/>
  <c r="Q7" i="36"/>
  <c r="L7" i="36"/>
  <c r="G7" i="36"/>
  <c r="B7" i="36"/>
  <c r="AQ5" i="36"/>
  <c r="AR16" i="36" s="1"/>
  <c r="AQ16" i="36" s="1"/>
  <c r="AL5" i="36"/>
  <c r="AM5" i="36" s="1"/>
  <c r="AG5" i="36"/>
  <c r="AH16" i="36" s="1"/>
  <c r="AB5" i="36"/>
  <c r="AC16" i="36" s="1"/>
  <c r="AB16" i="36" s="1"/>
  <c r="W5" i="36"/>
  <c r="R5" i="36"/>
  <c r="S16" i="36" s="1"/>
  <c r="S17" i="36" s="1"/>
  <c r="R17" i="36" s="1"/>
  <c r="M5" i="36"/>
  <c r="H5" i="36"/>
  <c r="I16" i="36" s="1"/>
  <c r="H16" i="36" s="1"/>
  <c r="C5" i="36"/>
  <c r="D16" i="36" s="1"/>
  <c r="AP3" i="36"/>
  <c r="AO3" i="36"/>
  <c r="AK3" i="36"/>
  <c r="AJ3" i="36"/>
  <c r="AF3" i="36"/>
  <c r="AE3" i="36"/>
  <c r="AA3" i="36"/>
  <c r="Z3" i="36"/>
  <c r="V3" i="36"/>
  <c r="U3" i="36"/>
  <c r="Q3" i="36"/>
  <c r="P3" i="36"/>
  <c r="L3" i="36"/>
  <c r="K3" i="36"/>
  <c r="G3" i="36"/>
  <c r="F3" i="36"/>
  <c r="B3" i="36"/>
  <c r="A3" i="36"/>
  <c r="BM100" i="36"/>
  <c r="BK100" i="36"/>
  <c r="BF100" i="36"/>
  <c r="BE100" i="36"/>
  <c r="BD100" i="36"/>
  <c r="BA100" i="36"/>
  <c r="AU100" i="36"/>
  <c r="AT100" i="36"/>
  <c r="AR100" i="36"/>
  <c r="AQ100" i="36"/>
  <c r="AK100" i="36"/>
  <c r="AJ100" i="36"/>
  <c r="AH100" i="36"/>
  <c r="AG100" i="36"/>
  <c r="AA100" i="36"/>
  <c r="Z100" i="36"/>
  <c r="X100" i="36"/>
  <c r="R100" i="36"/>
  <c r="N100" i="36"/>
  <c r="H100" i="36"/>
  <c r="G100" i="36"/>
  <c r="F100" i="36"/>
  <c r="E100" i="36"/>
  <c r="D100" i="36"/>
  <c r="C100" i="36"/>
  <c r="AE100" i="36"/>
  <c r="H76" i="36"/>
  <c r="B73" i="36"/>
  <c r="AG76" i="36"/>
  <c r="I64" i="36"/>
  <c r="H64" i="36" s="1"/>
  <c r="AR53" i="36"/>
  <c r="AM53" i="36"/>
  <c r="AH48" i="36"/>
  <c r="AH49" i="36" s="1"/>
  <c r="AG49" i="36" s="1"/>
  <c r="AK41" i="36"/>
  <c r="AK44" i="36" s="1"/>
  <c r="AK45" i="36" s="1"/>
  <c r="AR37" i="36"/>
  <c r="AH37" i="36"/>
  <c r="X48" i="36"/>
  <c r="W48" i="36" s="1"/>
  <c r="AR21" i="36"/>
  <c r="AK25" i="36"/>
  <c r="I21" i="36"/>
  <c r="N16" i="36"/>
  <c r="M16" i="36" s="1"/>
  <c r="AK9" i="36"/>
  <c r="X16" i="36"/>
  <c r="G7" i="35"/>
  <c r="AM21" i="40" l="1"/>
  <c r="AM53" i="40"/>
  <c r="AP25" i="40"/>
  <c r="L73" i="40"/>
  <c r="AZ100" i="40"/>
  <c r="BA38" i="4" s="1"/>
  <c r="AL100" i="40"/>
  <c r="Z100" i="40"/>
  <c r="AA38" i="4" s="1"/>
  <c r="N100" i="40"/>
  <c r="O38" i="4" s="1"/>
  <c r="D100" i="40"/>
  <c r="BK100" i="40"/>
  <c r="AW100" i="40"/>
  <c r="AX38" i="4" s="1"/>
  <c r="AJ100" i="40"/>
  <c r="AK38" i="4" s="1"/>
  <c r="X100" i="40"/>
  <c r="L100" i="40"/>
  <c r="M38" i="4" s="1"/>
  <c r="BJ100" i="40"/>
  <c r="BK38" i="4" s="1"/>
  <c r="AU100" i="40"/>
  <c r="W100" i="40"/>
  <c r="K100" i="40"/>
  <c r="L38" i="4" s="1"/>
  <c r="BH100" i="40"/>
  <c r="AG100" i="40"/>
  <c r="AH38" i="4" s="1"/>
  <c r="J100" i="40"/>
  <c r="K38" i="4" s="1"/>
  <c r="BG100" i="40"/>
  <c r="AR100" i="40"/>
  <c r="AF100" i="40"/>
  <c r="I100" i="40"/>
  <c r="BF100" i="40"/>
  <c r="BG38" i="4" s="1"/>
  <c r="S100" i="40"/>
  <c r="AH100" i="40"/>
  <c r="BE100" i="40"/>
  <c r="AD100" i="40"/>
  <c r="R100" i="40"/>
  <c r="S38" i="4" s="1"/>
  <c r="G100" i="40"/>
  <c r="BD100" i="40"/>
  <c r="AN100" i="40"/>
  <c r="AC100" i="40"/>
  <c r="Q100" i="40"/>
  <c r="R38" i="4" s="1"/>
  <c r="F100" i="40"/>
  <c r="G38" i="4" s="1"/>
  <c r="BA100" i="40"/>
  <c r="AM100" i="40"/>
  <c r="AN38" i="4" s="1"/>
  <c r="AA100" i="40"/>
  <c r="P100" i="40"/>
  <c r="Q38" i="4" s="1"/>
  <c r="E100" i="40"/>
  <c r="AX100" i="40"/>
  <c r="AK100" i="40"/>
  <c r="Y100" i="40"/>
  <c r="M100" i="40"/>
  <c r="C100" i="40"/>
  <c r="U100" i="40"/>
  <c r="V38" i="4" s="1"/>
  <c r="T100" i="40"/>
  <c r="U38" i="4" s="1"/>
  <c r="AQ100" i="40"/>
  <c r="AE100" i="40"/>
  <c r="AF38" i="4" s="1"/>
  <c r="H100" i="40"/>
  <c r="BM100" i="40"/>
  <c r="AT100" i="40"/>
  <c r="AU38" i="4" s="1"/>
  <c r="F101" i="40"/>
  <c r="AM101" i="40"/>
  <c r="AG101" i="40"/>
  <c r="AF101" i="40"/>
  <c r="AG50" i="4" s="1"/>
  <c r="S101" i="40"/>
  <c r="T50" i="4" s="1"/>
  <c r="J101" i="40"/>
  <c r="K50" i="4" s="1"/>
  <c r="Z101" i="40"/>
  <c r="N101" i="40"/>
  <c r="O50" i="4" s="1"/>
  <c r="V101" i="40"/>
  <c r="W50" i="4" s="1"/>
  <c r="P101" i="40"/>
  <c r="Q50" i="4" s="1"/>
  <c r="V41" i="40"/>
  <c r="V44" i="40" s="1"/>
  <c r="V45" i="40" s="1"/>
  <c r="AF41" i="40"/>
  <c r="AF44" i="40" s="1"/>
  <c r="AF45" i="40" s="1"/>
  <c r="AH37" i="40"/>
  <c r="X76" i="40"/>
  <c r="X77" i="40" s="1"/>
  <c r="V74" i="40" s="1"/>
  <c r="B73" i="40"/>
  <c r="X5" i="40"/>
  <c r="AP41" i="40"/>
  <c r="AH21" i="40"/>
  <c r="Q28" i="40"/>
  <c r="Q29" i="40" s="1"/>
  <c r="N53" i="40"/>
  <c r="G25" i="40"/>
  <c r="G28" i="40" s="1"/>
  <c r="G29" i="40" s="1"/>
  <c r="I53" i="40"/>
  <c r="I17" i="40"/>
  <c r="H17" i="40" s="1"/>
  <c r="AC5" i="40"/>
  <c r="AF25" i="40"/>
  <c r="AF28" i="40" s="1"/>
  <c r="B57" i="40"/>
  <c r="V77" i="40"/>
  <c r="AA73" i="40"/>
  <c r="AK41" i="40"/>
  <c r="AP73" i="40"/>
  <c r="AF57" i="40"/>
  <c r="AF60" i="40" s="1"/>
  <c r="AF61" i="40" s="1"/>
  <c r="L25" i="40"/>
  <c r="L28" i="40" s="1"/>
  <c r="L29" i="40" s="1"/>
  <c r="AK9" i="40"/>
  <c r="AM17" i="40"/>
  <c r="AM18" i="40" s="1"/>
  <c r="I64" i="40"/>
  <c r="H64" i="40" s="1"/>
  <c r="G64" i="40" s="1"/>
  <c r="AR64" i="40"/>
  <c r="AR65" i="40" s="1"/>
  <c r="AQ65" i="40" s="1"/>
  <c r="AA25" i="38"/>
  <c r="AA28" i="38" s="1"/>
  <c r="AA29" i="38" s="1"/>
  <c r="AC33" i="38"/>
  <c r="AB33" i="38" s="1"/>
  <c r="AA41" i="38"/>
  <c r="AA57" i="38"/>
  <c r="AA60" i="38" s="1"/>
  <c r="AA61" i="38" s="1"/>
  <c r="X21" i="38"/>
  <c r="V41" i="38"/>
  <c r="V44" i="38" s="1"/>
  <c r="V45" i="38" s="1"/>
  <c r="X64" i="38"/>
  <c r="W64" i="38" s="1"/>
  <c r="X17" i="38"/>
  <c r="W17" i="38" s="1"/>
  <c r="V9" i="38"/>
  <c r="Q41" i="38"/>
  <c r="Q44" i="38" s="1"/>
  <c r="Q45" i="38" s="1"/>
  <c r="S37" i="38"/>
  <c r="Q73" i="38"/>
  <c r="L41" i="38"/>
  <c r="L44" i="38" s="1"/>
  <c r="L73" i="38"/>
  <c r="I17" i="38"/>
  <c r="H17" i="38" s="1"/>
  <c r="I77" i="38"/>
  <c r="B57" i="38"/>
  <c r="B60" i="38" s="1"/>
  <c r="B61" i="38" s="1"/>
  <c r="B28" i="38"/>
  <c r="B29" i="38" s="1"/>
  <c r="B73" i="38"/>
  <c r="D77" i="38"/>
  <c r="L57" i="36"/>
  <c r="L60" i="36" s="1"/>
  <c r="L61" i="36" s="1"/>
  <c r="AA9" i="36"/>
  <c r="V73" i="36"/>
  <c r="X37" i="36"/>
  <c r="V25" i="36"/>
  <c r="V28" i="36" s="1"/>
  <c r="V29" i="36" s="1"/>
  <c r="W76" i="36"/>
  <c r="W77" i="36" s="1"/>
  <c r="Q9" i="36"/>
  <c r="Q12" i="36" s="1"/>
  <c r="S21" i="36"/>
  <c r="Q73" i="36"/>
  <c r="S77" i="36"/>
  <c r="Q74" i="36" s="1"/>
  <c r="N77" i="36"/>
  <c r="L74" i="36" s="1"/>
  <c r="L25" i="36"/>
  <c r="L28" i="36" s="1"/>
  <c r="G28" i="36"/>
  <c r="H77" i="36"/>
  <c r="G73" i="36"/>
  <c r="G74" i="36" s="1"/>
  <c r="B60" i="36"/>
  <c r="B61" i="36" s="1"/>
  <c r="B9" i="36"/>
  <c r="V17" i="38"/>
  <c r="V18" i="38" s="1"/>
  <c r="B32" i="38"/>
  <c r="AP76" i="38"/>
  <c r="AP77" i="38" s="1"/>
  <c r="AP16" i="38"/>
  <c r="B64" i="36"/>
  <c r="L16" i="36"/>
  <c r="BF85" i="30"/>
  <c r="BL18" i="30"/>
  <c r="BA85" i="30"/>
  <c r="BU85" i="30"/>
  <c r="BL50" i="30"/>
  <c r="BQ18" i="30"/>
  <c r="BP85" i="30" s="1"/>
  <c r="BL66" i="30"/>
  <c r="H12" i="23"/>
  <c r="H8" i="23"/>
  <c r="H13" i="23"/>
  <c r="H40" i="23"/>
  <c r="H14" i="23"/>
  <c r="X37" i="40"/>
  <c r="S37" i="40"/>
  <c r="S21" i="38"/>
  <c r="S64" i="38"/>
  <c r="R64" i="38" s="1"/>
  <c r="Q64" i="38" s="1"/>
  <c r="I37" i="38"/>
  <c r="L57" i="38"/>
  <c r="L60" i="38" s="1"/>
  <c r="L61" i="38" s="1"/>
  <c r="X21" i="36"/>
  <c r="G41" i="36"/>
  <c r="B74" i="38"/>
  <c r="BK102" i="38"/>
  <c r="AC37" i="38"/>
  <c r="D53" i="38"/>
  <c r="G57" i="38"/>
  <c r="G60" i="38" s="1"/>
  <c r="G61" i="38" s="1"/>
  <c r="L28" i="38"/>
  <c r="AR53" i="38"/>
  <c r="W100" i="38"/>
  <c r="AK100" i="38"/>
  <c r="X5" i="38"/>
  <c r="S48" i="38"/>
  <c r="S49" i="38" s="1"/>
  <c r="R49" i="38" s="1"/>
  <c r="Q49" i="38" s="1"/>
  <c r="Q50" i="38" s="1"/>
  <c r="J100" i="38"/>
  <c r="X100" i="38"/>
  <c r="AM100" i="38"/>
  <c r="BE100" i="38"/>
  <c r="S77" i="38"/>
  <c r="Q74" i="38" s="1"/>
  <c r="I100" i="38"/>
  <c r="BD100" i="38"/>
  <c r="AC48" i="38"/>
  <c r="AB48" i="38" s="1"/>
  <c r="AA48" i="38" s="1"/>
  <c r="N76" i="38"/>
  <c r="N77" i="38" s="1"/>
  <c r="L74" i="38" s="1"/>
  <c r="K100" i="38"/>
  <c r="Z100" i="38"/>
  <c r="BF100" i="38"/>
  <c r="AA44" i="38"/>
  <c r="AA45" i="38" s="1"/>
  <c r="N37" i="38"/>
  <c r="L89" i="38"/>
  <c r="Q89" i="38" s="1"/>
  <c r="V89" i="38" s="1"/>
  <c r="AA89" i="38" s="1"/>
  <c r="AF89" i="38" s="1"/>
  <c r="AK89" i="38" s="1"/>
  <c r="AP89" i="38" s="1"/>
  <c r="AN100" i="38"/>
  <c r="V25" i="38"/>
  <c r="V28" i="38" s="1"/>
  <c r="V29" i="38" s="1"/>
  <c r="Q57" i="38"/>
  <c r="Q60" i="38" s="1"/>
  <c r="Q61" i="38" s="1"/>
  <c r="W77" i="38"/>
  <c r="AF61" i="38"/>
  <c r="AC77" i="38"/>
  <c r="AA74" i="38" s="1"/>
  <c r="AA76" i="38"/>
  <c r="AA77" i="38" s="1"/>
  <c r="BJ100" i="38"/>
  <c r="M100" i="38"/>
  <c r="AA100" i="38"/>
  <c r="AQ100" i="38"/>
  <c r="BG100" i="38"/>
  <c r="AX102" i="38"/>
  <c r="AA82" i="38"/>
  <c r="AF73" i="38"/>
  <c r="D21" i="38"/>
  <c r="AK28" i="38"/>
  <c r="AK29" i="38" s="1"/>
  <c r="C100" i="38"/>
  <c r="N100" i="38"/>
  <c r="AC100" i="38"/>
  <c r="AR100" i="38"/>
  <c r="BH100" i="38"/>
  <c r="D100" i="38"/>
  <c r="P100" i="38"/>
  <c r="AD100" i="38"/>
  <c r="AT100" i="38"/>
  <c r="I5" i="38"/>
  <c r="L82" i="38"/>
  <c r="Q9" i="38"/>
  <c r="Q12" i="38" s="1"/>
  <c r="Q13" i="38" s="1"/>
  <c r="G82" i="38"/>
  <c r="G48" i="38"/>
  <c r="L45" i="38"/>
  <c r="I21" i="40"/>
  <c r="C76" i="40"/>
  <c r="C77" i="40" s="1"/>
  <c r="N21" i="40"/>
  <c r="AM49" i="40"/>
  <c r="AL49" i="40" s="1"/>
  <c r="B60" i="40"/>
  <c r="B61" i="40" s="1"/>
  <c r="V28" i="40"/>
  <c r="V29" i="40" s="1"/>
  <c r="AF29" i="40"/>
  <c r="AA25" i="40"/>
  <c r="AA28" i="40" s="1"/>
  <c r="AA29" i="40" s="1"/>
  <c r="B41" i="40"/>
  <c r="B44" i="40" s="1"/>
  <c r="B45" i="40" s="1"/>
  <c r="V57" i="40"/>
  <c r="V60" i="40" s="1"/>
  <c r="V61" i="40" s="1"/>
  <c r="AP77" i="40"/>
  <c r="AM5" i="40"/>
  <c r="AK57" i="40"/>
  <c r="AK60" i="40" s="1"/>
  <c r="AK61" i="40" s="1"/>
  <c r="D37" i="40"/>
  <c r="AA57" i="40"/>
  <c r="AA60" i="40" s="1"/>
  <c r="AA61" i="40" s="1"/>
  <c r="G73" i="40"/>
  <c r="AH5" i="40"/>
  <c r="N64" i="40"/>
  <c r="M64" i="40" s="1"/>
  <c r="L64" i="40" s="1"/>
  <c r="AH76" i="40"/>
  <c r="AH77" i="40" s="1"/>
  <c r="AR5" i="40"/>
  <c r="AM76" i="40"/>
  <c r="AM77" i="40" s="1"/>
  <c r="AR76" i="40"/>
  <c r="AR77" i="40" s="1"/>
  <c r="AA9" i="40"/>
  <c r="AA12" i="40" s="1"/>
  <c r="AR16" i="40"/>
  <c r="AQ16" i="40" s="1"/>
  <c r="AP16" i="40" s="1"/>
  <c r="AP44" i="40"/>
  <c r="AP45" i="40" s="1"/>
  <c r="B82" i="40"/>
  <c r="G57" i="40"/>
  <c r="G60" i="40" s="1"/>
  <c r="G61" i="40" s="1"/>
  <c r="AH48" i="40"/>
  <c r="D5" i="40"/>
  <c r="AC17" i="40"/>
  <c r="AB17" i="40" s="1"/>
  <c r="I5" i="40"/>
  <c r="S5" i="40"/>
  <c r="S21" i="40"/>
  <c r="V82" i="40"/>
  <c r="Q57" i="40"/>
  <c r="Q60" i="40" s="1"/>
  <c r="Q61" i="40" s="1"/>
  <c r="G16" i="40"/>
  <c r="AK25" i="40"/>
  <c r="AK28" i="40" s="1"/>
  <c r="AK29" i="40" s="1"/>
  <c r="AP32" i="40"/>
  <c r="Q82" i="40"/>
  <c r="G41" i="40"/>
  <c r="G44" i="40" s="1"/>
  <c r="G45" i="40" s="1"/>
  <c r="AP28" i="40"/>
  <c r="AP29" i="40" s="1"/>
  <c r="AA16" i="40"/>
  <c r="AR21" i="40"/>
  <c r="AM33" i="40"/>
  <c r="AL33" i="40" s="1"/>
  <c r="AM65" i="40"/>
  <c r="AM66" i="40" s="1"/>
  <c r="D21" i="40"/>
  <c r="Q48" i="40"/>
  <c r="D53" i="40"/>
  <c r="AF82" i="40"/>
  <c r="X49" i="40"/>
  <c r="W49" i="40" s="1"/>
  <c r="W48" i="40"/>
  <c r="V48" i="40" s="1"/>
  <c r="AB32" i="40"/>
  <c r="AA32" i="40" s="1"/>
  <c r="AC33" i="40"/>
  <c r="AQ77" i="40"/>
  <c r="AL17" i="40"/>
  <c r="AK17" i="40" s="1"/>
  <c r="AK18" i="40" s="1"/>
  <c r="AA82" i="40"/>
  <c r="AC21" i="40"/>
  <c r="AK48" i="40"/>
  <c r="AL32" i="40"/>
  <c r="AK32" i="40" s="1"/>
  <c r="I33" i="40"/>
  <c r="H33" i="40" s="1"/>
  <c r="S32" i="40"/>
  <c r="AL64" i="40"/>
  <c r="AK64" i="40" s="1"/>
  <c r="D77" i="40"/>
  <c r="B74" i="40" s="1"/>
  <c r="AL16" i="40"/>
  <c r="AK16" i="40" s="1"/>
  <c r="Q16" i="40"/>
  <c r="X21" i="40"/>
  <c r="G82" i="40"/>
  <c r="G9" i="40"/>
  <c r="N76" i="40"/>
  <c r="N77" i="40" s="1"/>
  <c r="L74" i="40" s="1"/>
  <c r="M76" i="40"/>
  <c r="X17" i="40"/>
  <c r="W17" i="40" s="1"/>
  <c r="AK12" i="40"/>
  <c r="AA48" i="40"/>
  <c r="AC49" i="40"/>
  <c r="AB49" i="40" s="1"/>
  <c r="X64" i="40"/>
  <c r="W64" i="40" s="1"/>
  <c r="X53" i="40"/>
  <c r="N5" i="40"/>
  <c r="N17" i="40"/>
  <c r="M17" i="40" s="1"/>
  <c r="L9" i="40"/>
  <c r="B16" i="40"/>
  <c r="D17" i="40"/>
  <c r="C17" i="40" s="1"/>
  <c r="L32" i="40"/>
  <c r="N33" i="40"/>
  <c r="M33" i="40" s="1"/>
  <c r="AA44" i="40"/>
  <c r="AA45" i="40" s="1"/>
  <c r="S53" i="40"/>
  <c r="S64" i="40"/>
  <c r="R64" i="40" s="1"/>
  <c r="Q9" i="40"/>
  <c r="V9" i="40"/>
  <c r="I48" i="40"/>
  <c r="H48" i="40" s="1"/>
  <c r="I37" i="40"/>
  <c r="W77" i="40"/>
  <c r="V16" i="40"/>
  <c r="AR33" i="40"/>
  <c r="AQ33" i="40" s="1"/>
  <c r="N37" i="40"/>
  <c r="N48" i="40"/>
  <c r="M48" i="40" s="1"/>
  <c r="AP48" i="40"/>
  <c r="AR49" i="40"/>
  <c r="AQ49" i="40" s="1"/>
  <c r="I76" i="40"/>
  <c r="I77" i="40" s="1"/>
  <c r="H76" i="40"/>
  <c r="AL77" i="40"/>
  <c r="AK76" i="40"/>
  <c r="AK77" i="40" s="1"/>
  <c r="Q76" i="40"/>
  <c r="Q77" i="40" s="1"/>
  <c r="R77" i="40"/>
  <c r="L41" i="40"/>
  <c r="L44" i="40" s="1"/>
  <c r="L45" i="40" s="1"/>
  <c r="B64" i="40"/>
  <c r="D65" i="40"/>
  <c r="C65" i="40" s="1"/>
  <c r="AH17" i="40"/>
  <c r="AG17" i="40" s="1"/>
  <c r="Q41" i="40"/>
  <c r="Q44" i="40" s="1"/>
  <c r="Q45" i="40" s="1"/>
  <c r="AF9" i="40"/>
  <c r="S17" i="40"/>
  <c r="R17" i="40" s="1"/>
  <c r="AK82" i="40"/>
  <c r="AH33" i="40"/>
  <c r="AG33" i="40" s="1"/>
  <c r="AF32" i="40"/>
  <c r="L57" i="40"/>
  <c r="L60" i="40" s="1"/>
  <c r="L61" i="40" s="1"/>
  <c r="AC64" i="40"/>
  <c r="AB64" i="40" s="1"/>
  <c r="AC53" i="40"/>
  <c r="AH65" i="40"/>
  <c r="AG65" i="40" s="1"/>
  <c r="AF64" i="40"/>
  <c r="AK44" i="40"/>
  <c r="AK45" i="40" s="1"/>
  <c r="AH53" i="40"/>
  <c r="AC76" i="40"/>
  <c r="AC77" i="40" s="1"/>
  <c r="AA74" i="40" s="1"/>
  <c r="AB76" i="40"/>
  <c r="AF73" i="40"/>
  <c r="AG77" i="40"/>
  <c r="L82" i="40"/>
  <c r="AC37" i="40"/>
  <c r="AP82" i="40"/>
  <c r="AP9" i="40"/>
  <c r="B9" i="40"/>
  <c r="X33" i="40"/>
  <c r="W33" i="40" s="1"/>
  <c r="D48" i="40"/>
  <c r="C48" i="40" s="1"/>
  <c r="I65" i="40"/>
  <c r="H65" i="40" s="1"/>
  <c r="D33" i="40"/>
  <c r="C33" i="40" s="1"/>
  <c r="S49" i="40"/>
  <c r="R49" i="40" s="1"/>
  <c r="S77" i="40"/>
  <c r="Q74" i="40" s="1"/>
  <c r="N102" i="40"/>
  <c r="J102" i="40"/>
  <c r="B25" i="40"/>
  <c r="B28" i="40" s="1"/>
  <c r="B29" i="40" s="1"/>
  <c r="R102" i="40"/>
  <c r="AM37" i="40"/>
  <c r="AF76" i="40"/>
  <c r="AF77" i="40" s="1"/>
  <c r="AK73" i="40"/>
  <c r="AE102" i="40"/>
  <c r="L102" i="40"/>
  <c r="B41" i="36"/>
  <c r="B44" i="36" s="1"/>
  <c r="B45" i="36" s="1"/>
  <c r="AK57" i="36"/>
  <c r="AK60" i="36" s="1"/>
  <c r="AK61" i="36" s="1"/>
  <c r="S53" i="36"/>
  <c r="Q82" i="36"/>
  <c r="Q57" i="36"/>
  <c r="Q60" i="36" s="1"/>
  <c r="Q61" i="36" s="1"/>
  <c r="Q32" i="36"/>
  <c r="G9" i="36"/>
  <c r="G81" i="36" s="1"/>
  <c r="AA25" i="36"/>
  <c r="AA28" i="36" s="1"/>
  <c r="AA29" i="36" s="1"/>
  <c r="AC21" i="36"/>
  <c r="C76" i="36"/>
  <c r="AF9" i="36"/>
  <c r="AF12" i="36" s="1"/>
  <c r="AF13" i="36" s="1"/>
  <c r="D65" i="36"/>
  <c r="D66" i="36" s="1"/>
  <c r="R101" i="36"/>
  <c r="L41" i="36"/>
  <c r="L44" i="36" s="1"/>
  <c r="L45" i="36" s="1"/>
  <c r="AH53" i="36"/>
  <c r="N49" i="36"/>
  <c r="N50" i="36" s="1"/>
  <c r="N37" i="36"/>
  <c r="Q41" i="36"/>
  <c r="Q44" i="36" s="1"/>
  <c r="Q45" i="36" s="1"/>
  <c r="AP57" i="36"/>
  <c r="AP60" i="36" s="1"/>
  <c r="AP61" i="36" s="1"/>
  <c r="AK12" i="36"/>
  <c r="AK13" i="36" s="1"/>
  <c r="AF41" i="36"/>
  <c r="AF44" i="36" s="1"/>
  <c r="AF45" i="36" s="1"/>
  <c r="G57" i="36"/>
  <c r="G60" i="36" s="1"/>
  <c r="G61" i="36" s="1"/>
  <c r="O101" i="36"/>
  <c r="R32" i="38"/>
  <c r="Q32" i="38" s="1"/>
  <c r="D17" i="38"/>
  <c r="C17" i="38" s="1"/>
  <c r="C16" i="38"/>
  <c r="B16" i="38" s="1"/>
  <c r="N49" i="38"/>
  <c r="M49" i="38" s="1"/>
  <c r="M48" i="38"/>
  <c r="L48" i="38" s="1"/>
  <c r="N18" i="38"/>
  <c r="X76" i="38"/>
  <c r="X77" i="38" s="1"/>
  <c r="V74" i="38" s="1"/>
  <c r="H16" i="38"/>
  <c r="G16" i="38" s="1"/>
  <c r="G74" i="38"/>
  <c r="M16" i="38"/>
  <c r="AG48" i="38"/>
  <c r="AF48" i="38" s="1"/>
  <c r="AL48" i="38"/>
  <c r="AK48" i="38" s="1"/>
  <c r="L17" i="38"/>
  <c r="L18" i="38" s="1"/>
  <c r="W16" i="38"/>
  <c r="V16" i="38" s="1"/>
  <c r="AP48" i="38"/>
  <c r="AG16" i="38"/>
  <c r="AF16" i="38" s="1"/>
  <c r="AK32" i="38"/>
  <c r="W32" i="38"/>
  <c r="V32" i="38" s="1"/>
  <c r="H18" i="38"/>
  <c r="AP74" i="38"/>
  <c r="D64" i="38"/>
  <c r="AB32" i="38"/>
  <c r="AA32" i="38" s="1"/>
  <c r="AK16" i="38"/>
  <c r="B48" i="38"/>
  <c r="D5" i="38"/>
  <c r="D33" i="38"/>
  <c r="C33" i="38" s="1"/>
  <c r="AB77" i="38"/>
  <c r="AH18" i="38"/>
  <c r="X34" i="38"/>
  <c r="L14" i="38"/>
  <c r="AC17" i="38"/>
  <c r="AB17" i="38" s="1"/>
  <c r="I33" i="38"/>
  <c r="H33" i="38" s="1"/>
  <c r="G32" i="38"/>
  <c r="V82" i="38"/>
  <c r="X48" i="38"/>
  <c r="W48" i="38" s="1"/>
  <c r="X37" i="38"/>
  <c r="AM5" i="38"/>
  <c r="AA16" i="38"/>
  <c r="G41" i="38"/>
  <c r="G44" i="38" s="1"/>
  <c r="G45" i="38" s="1"/>
  <c r="I49" i="38"/>
  <c r="H49" i="38" s="1"/>
  <c r="AP64" i="38"/>
  <c r="AR65" i="38"/>
  <c r="AQ65" i="38" s="1"/>
  <c r="M77" i="38"/>
  <c r="AH5" i="38"/>
  <c r="AP61" i="38"/>
  <c r="AR17" i="38"/>
  <c r="AQ17" i="38" s="1"/>
  <c r="AM33" i="38"/>
  <c r="AL33" i="38" s="1"/>
  <c r="AC65" i="38"/>
  <c r="AB65" i="38" s="1"/>
  <c r="AA64" i="38"/>
  <c r="V57" i="38"/>
  <c r="V60" i="38" s="1"/>
  <c r="V61" i="38" s="1"/>
  <c r="H76" i="38"/>
  <c r="B82" i="38"/>
  <c r="AF9" i="38"/>
  <c r="L16" i="38"/>
  <c r="G17" i="38"/>
  <c r="G18" i="38" s="1"/>
  <c r="AR33" i="38"/>
  <c r="AQ33" i="38" s="1"/>
  <c r="D49" i="38"/>
  <c r="C49" i="38" s="1"/>
  <c r="AR49" i="38"/>
  <c r="AQ49" i="38" s="1"/>
  <c r="AC53" i="38"/>
  <c r="V64" i="38"/>
  <c r="X65" i="38"/>
  <c r="W65" i="38" s="1"/>
  <c r="Q76" i="38"/>
  <c r="Q77" i="38" s="1"/>
  <c r="R77" i="38"/>
  <c r="V12" i="38"/>
  <c r="W18" i="38"/>
  <c r="AA9" i="38"/>
  <c r="X18" i="38"/>
  <c r="I21" i="38"/>
  <c r="B41" i="38"/>
  <c r="B44" i="38" s="1"/>
  <c r="B45" i="38" s="1"/>
  <c r="AM17" i="38"/>
  <c r="AL17" i="38" s="1"/>
  <c r="AR5" i="38"/>
  <c r="AK9" i="38"/>
  <c r="B12" i="38"/>
  <c r="I18" i="38"/>
  <c r="AH33" i="38"/>
  <c r="AG33" i="38" s="1"/>
  <c r="AF32" i="38"/>
  <c r="D37" i="38"/>
  <c r="AH53" i="38"/>
  <c r="AH64" i="38"/>
  <c r="AG64" i="38" s="1"/>
  <c r="AK60" i="38"/>
  <c r="AK61" i="38" s="1"/>
  <c r="L76" i="38"/>
  <c r="L77" i="38" s="1"/>
  <c r="N32" i="38"/>
  <c r="M32" i="38" s="1"/>
  <c r="N21" i="38"/>
  <c r="AH50" i="38"/>
  <c r="AP82" i="38"/>
  <c r="AM50" i="38"/>
  <c r="AC34" i="38"/>
  <c r="S16" i="38"/>
  <c r="R16" i="38" s="1"/>
  <c r="S5" i="38"/>
  <c r="AP9" i="38"/>
  <c r="AH21" i="38"/>
  <c r="AF25" i="38"/>
  <c r="AF28" i="38" s="1"/>
  <c r="AF29" i="38" s="1"/>
  <c r="S33" i="38"/>
  <c r="R33" i="38" s="1"/>
  <c r="AM53" i="38"/>
  <c r="AM64" i="38"/>
  <c r="AL64" i="38" s="1"/>
  <c r="Q82" i="38"/>
  <c r="G9" i="38"/>
  <c r="AR21" i="38"/>
  <c r="I64" i="38"/>
  <c r="H64" i="38" s="1"/>
  <c r="I53" i="38"/>
  <c r="AG76" i="38"/>
  <c r="AH76" i="38"/>
  <c r="AH77" i="38" s="1"/>
  <c r="V76" i="38"/>
  <c r="V77" i="38" s="1"/>
  <c r="N101" i="38"/>
  <c r="J101" i="38"/>
  <c r="F101" i="38"/>
  <c r="G25" i="38"/>
  <c r="G28" i="38" s="1"/>
  <c r="G29" i="38" s="1"/>
  <c r="C76" i="38"/>
  <c r="N64" i="38"/>
  <c r="M64" i="38" s="1"/>
  <c r="L100" i="38"/>
  <c r="V100" i="38"/>
  <c r="AZ100" i="38"/>
  <c r="W32" i="36"/>
  <c r="V32" i="36" s="1"/>
  <c r="X33" i="36"/>
  <c r="AL64" i="36"/>
  <c r="AK64" i="36" s="1"/>
  <c r="AG32" i="36"/>
  <c r="AF32" i="36" s="1"/>
  <c r="N33" i="36"/>
  <c r="M33" i="36" s="1"/>
  <c r="L33" i="36" s="1"/>
  <c r="L34" i="36" s="1"/>
  <c r="M32" i="36"/>
  <c r="L32" i="36" s="1"/>
  <c r="D17" i="36"/>
  <c r="C17" i="36" s="1"/>
  <c r="C16" i="36"/>
  <c r="B16" i="36" s="1"/>
  <c r="AR34" i="36"/>
  <c r="AQ33" i="36"/>
  <c r="AH17" i="36"/>
  <c r="AG16" i="36"/>
  <c r="AF16" i="36" s="1"/>
  <c r="AF25" i="36"/>
  <c r="AF28" i="36" s="1"/>
  <c r="AF29" i="36" s="1"/>
  <c r="L82" i="36"/>
  <c r="N21" i="36"/>
  <c r="X77" i="36"/>
  <c r="V74" i="36" s="1"/>
  <c r="AQ32" i="36"/>
  <c r="AP32" i="36" s="1"/>
  <c r="V48" i="36"/>
  <c r="L64" i="36"/>
  <c r="W16" i="36"/>
  <c r="V16" i="36" s="1"/>
  <c r="G29" i="36"/>
  <c r="V64" i="36"/>
  <c r="AR5" i="36"/>
  <c r="L29" i="36"/>
  <c r="AH64" i="36"/>
  <c r="R76" i="36"/>
  <c r="R77" i="36" s="1"/>
  <c r="AG48" i="36"/>
  <c r="AF48" i="36" s="1"/>
  <c r="AA45" i="36"/>
  <c r="M48" i="36"/>
  <c r="L48" i="36" s="1"/>
  <c r="AF74" i="36"/>
  <c r="AK28" i="36"/>
  <c r="AK80" i="36" s="1"/>
  <c r="R16" i="36"/>
  <c r="Q16" i="36" s="1"/>
  <c r="B32" i="36"/>
  <c r="AF61" i="36"/>
  <c r="V76" i="36"/>
  <c r="V77" i="36" s="1"/>
  <c r="S18" i="36"/>
  <c r="D49" i="36"/>
  <c r="C49" i="36" s="1"/>
  <c r="B48" i="36"/>
  <c r="AA32" i="36"/>
  <c r="AC33" i="36"/>
  <c r="AB33" i="36" s="1"/>
  <c r="V13" i="36"/>
  <c r="G64" i="36"/>
  <c r="I65" i="36"/>
  <c r="H65" i="36" s="1"/>
  <c r="D21" i="36"/>
  <c r="S65" i="36"/>
  <c r="R65" i="36" s="1"/>
  <c r="Q64" i="36"/>
  <c r="V82" i="36"/>
  <c r="D33" i="36"/>
  <c r="C33" i="36" s="1"/>
  <c r="N5" i="36"/>
  <c r="L9" i="36"/>
  <c r="I32" i="36"/>
  <c r="H32" i="36" s="1"/>
  <c r="B12" i="36"/>
  <c r="AC17" i="36"/>
  <c r="AB17" i="36" s="1"/>
  <c r="AA16" i="36"/>
  <c r="X5" i="36"/>
  <c r="AM32" i="36"/>
  <c r="AL32" i="36" s="1"/>
  <c r="AM21" i="36"/>
  <c r="AC76" i="36"/>
  <c r="AC77" i="36" s="1"/>
  <c r="AA74" i="36" s="1"/>
  <c r="AB76" i="36"/>
  <c r="AK81" i="36"/>
  <c r="X17" i="36"/>
  <c r="W17" i="36" s="1"/>
  <c r="AP28" i="36"/>
  <c r="AP29" i="36" s="1"/>
  <c r="D37" i="36"/>
  <c r="AC64" i="36"/>
  <c r="AB64" i="36" s="1"/>
  <c r="X65" i="36"/>
  <c r="W65" i="36" s="1"/>
  <c r="AF76" i="36"/>
  <c r="AF77" i="36" s="1"/>
  <c r="AG77" i="36"/>
  <c r="AK73" i="36"/>
  <c r="L89" i="36"/>
  <c r="Q89" i="36" s="1"/>
  <c r="V89" i="36" s="1"/>
  <c r="AA89" i="36" s="1"/>
  <c r="AF89" i="36" s="1"/>
  <c r="AK89" i="36" s="1"/>
  <c r="AP89" i="36" s="1"/>
  <c r="G76" i="36"/>
  <c r="G77" i="36" s="1"/>
  <c r="N65" i="36"/>
  <c r="M65" i="36" s="1"/>
  <c r="N53" i="36"/>
  <c r="V41" i="36"/>
  <c r="V44" i="36" s="1"/>
  <c r="V45" i="36" s="1"/>
  <c r="AH50" i="36"/>
  <c r="AC49" i="36"/>
  <c r="AB49" i="36" s="1"/>
  <c r="AA48" i="36"/>
  <c r="X53" i="36"/>
  <c r="AC37" i="36"/>
  <c r="G82" i="36"/>
  <c r="S33" i="36"/>
  <c r="R33" i="36" s="1"/>
  <c r="G44" i="36"/>
  <c r="G45" i="36" s="1"/>
  <c r="AR65" i="36"/>
  <c r="AQ65" i="36" s="1"/>
  <c r="AP64" i="36"/>
  <c r="AM76" i="36"/>
  <c r="AM77" i="36" s="1"/>
  <c r="AL76" i="36"/>
  <c r="AP73" i="36"/>
  <c r="AH33" i="36"/>
  <c r="AG33" i="36" s="1"/>
  <c r="B82" i="36"/>
  <c r="AA12" i="36"/>
  <c r="B74" i="36"/>
  <c r="D5" i="36"/>
  <c r="G16" i="36"/>
  <c r="I17" i="36"/>
  <c r="H17" i="36" s="1"/>
  <c r="AP16" i="36"/>
  <c r="AR17" i="36"/>
  <c r="AQ17" i="36" s="1"/>
  <c r="N17" i="36"/>
  <c r="M17" i="36" s="1"/>
  <c r="Q25" i="36"/>
  <c r="Q28" i="36" s="1"/>
  <c r="Q29" i="36" s="1"/>
  <c r="AR76" i="36"/>
  <c r="AR77" i="36" s="1"/>
  <c r="AQ76" i="36"/>
  <c r="I48" i="36"/>
  <c r="H48" i="36" s="1"/>
  <c r="I37" i="36"/>
  <c r="AR48" i="36"/>
  <c r="AQ48" i="36" s="1"/>
  <c r="AP82" i="36"/>
  <c r="I5" i="36"/>
  <c r="AA82" i="36"/>
  <c r="AM16" i="36"/>
  <c r="AL16" i="36" s="1"/>
  <c r="S48" i="36"/>
  <c r="R48" i="36" s="1"/>
  <c r="D53" i="36"/>
  <c r="AM65" i="36"/>
  <c r="AL65" i="36" s="1"/>
  <c r="X49" i="36"/>
  <c r="W49" i="36" s="1"/>
  <c r="I53" i="36"/>
  <c r="AF82" i="36"/>
  <c r="AP9" i="36"/>
  <c r="AK82" i="36"/>
  <c r="B25" i="36"/>
  <c r="B28" i="36" s="1"/>
  <c r="B29" i="36" s="1"/>
  <c r="AZ100" i="36"/>
  <c r="BJ100" i="36"/>
  <c r="AM48" i="36"/>
  <c r="AL48" i="36" s="1"/>
  <c r="I100" i="36"/>
  <c r="AM100" i="36"/>
  <c r="AW100" i="36"/>
  <c r="BG100" i="36"/>
  <c r="M76" i="36"/>
  <c r="T100" i="36"/>
  <c r="AD100" i="36"/>
  <c r="AN100" i="36"/>
  <c r="AX100" i="36"/>
  <c r="BH100" i="36"/>
  <c r="U100" i="36"/>
  <c r="AR38" i="4" l="1"/>
  <c r="AQ102" i="40"/>
  <c r="AB38" i="4"/>
  <c r="AA102" i="40"/>
  <c r="AE38" i="4"/>
  <c r="AD102" i="40"/>
  <c r="BL38" i="4"/>
  <c r="BK102" i="40"/>
  <c r="AR17" i="40"/>
  <c r="AQ17" i="40" s="1"/>
  <c r="AQ64" i="40"/>
  <c r="AP64" i="40" s="1"/>
  <c r="BF38" i="4"/>
  <c r="BE102" i="40"/>
  <c r="BI38" i="4"/>
  <c r="BH102" i="40"/>
  <c r="E38" i="4"/>
  <c r="D102" i="40"/>
  <c r="BB38" i="4"/>
  <c r="BA102" i="40"/>
  <c r="AI38" i="4"/>
  <c r="AH102" i="40"/>
  <c r="O100" i="40"/>
  <c r="D38" i="4"/>
  <c r="C102" i="40"/>
  <c r="X38" i="4"/>
  <c r="W102" i="40"/>
  <c r="N38" i="4"/>
  <c r="M102" i="40"/>
  <c r="AV38" i="4"/>
  <c r="AU102" i="40"/>
  <c r="AM50" i="40"/>
  <c r="O101" i="40"/>
  <c r="G50" i="4"/>
  <c r="P50" i="4" s="1"/>
  <c r="C39" i="23" s="1"/>
  <c r="AD38" i="4"/>
  <c r="AC102" i="40"/>
  <c r="J38" i="4"/>
  <c r="I102" i="40"/>
  <c r="AL38" i="4"/>
  <c r="AK102" i="40"/>
  <c r="AO38" i="4"/>
  <c r="AN102" i="40"/>
  <c r="Y38" i="4"/>
  <c r="X102" i="40"/>
  <c r="U102" i="40"/>
  <c r="BN38" i="4"/>
  <c r="BM102" i="40"/>
  <c r="AY38" i="4"/>
  <c r="AX102" i="40"/>
  <c r="BE38" i="4"/>
  <c r="BD102" i="40"/>
  <c r="AS38" i="4"/>
  <c r="AR102" i="40"/>
  <c r="I38" i="4"/>
  <c r="H102" i="40"/>
  <c r="F38" i="4"/>
  <c r="E102" i="40"/>
  <c r="H38" i="4"/>
  <c r="G102" i="40"/>
  <c r="BH38" i="4"/>
  <c r="BG102" i="40"/>
  <c r="K102" i="40"/>
  <c r="Q102" i="40"/>
  <c r="N65" i="40"/>
  <c r="M65" i="40" s="1"/>
  <c r="G74" i="40"/>
  <c r="I18" i="40"/>
  <c r="AF74" i="40"/>
  <c r="AP74" i="40"/>
  <c r="AK74" i="40"/>
  <c r="B76" i="40"/>
  <c r="B77" i="40" s="1"/>
  <c r="L80" i="38"/>
  <c r="L81" i="38"/>
  <c r="N50" i="38"/>
  <c r="C65" i="36"/>
  <c r="BK85" i="30"/>
  <c r="G12" i="36"/>
  <c r="L29" i="38"/>
  <c r="L79" i="38" s="1"/>
  <c r="I34" i="40"/>
  <c r="R48" i="38"/>
  <c r="Q48" i="38" s="1"/>
  <c r="R50" i="38"/>
  <c r="Q46" i="38" s="1"/>
  <c r="S50" i="38"/>
  <c r="S65" i="38"/>
  <c r="R65" i="38" s="1"/>
  <c r="V81" i="38"/>
  <c r="Q79" i="38"/>
  <c r="Q80" i="38"/>
  <c r="M49" i="36"/>
  <c r="L49" i="36" s="1"/>
  <c r="L50" i="36" s="1"/>
  <c r="AA81" i="36"/>
  <c r="V79" i="36"/>
  <c r="AR102" i="38"/>
  <c r="BG102" i="38"/>
  <c r="AK102" i="38"/>
  <c r="N102" i="38"/>
  <c r="R102" i="38"/>
  <c r="AC102" i="38"/>
  <c r="Q81" i="38"/>
  <c r="C102" i="38"/>
  <c r="AA102" i="38"/>
  <c r="AN102" i="38"/>
  <c r="I102" i="38"/>
  <c r="AQ102" i="38"/>
  <c r="BD102" i="38"/>
  <c r="W102" i="38"/>
  <c r="M102" i="38"/>
  <c r="BE102" i="38"/>
  <c r="S66" i="38"/>
  <c r="V102" i="38"/>
  <c r="Q102" i="38"/>
  <c r="L102" i="38"/>
  <c r="AF74" i="38"/>
  <c r="D34" i="38"/>
  <c r="AD102" i="38"/>
  <c r="AC49" i="38"/>
  <c r="AB49" i="38" s="1"/>
  <c r="X102" i="38"/>
  <c r="J102" i="38"/>
  <c r="D102" i="38"/>
  <c r="AA81" i="40"/>
  <c r="BH102" i="38"/>
  <c r="K102" i="38"/>
  <c r="AM34" i="40"/>
  <c r="AL85" i="40" s="1"/>
  <c r="AL18" i="40"/>
  <c r="X50" i="40"/>
  <c r="AG48" i="40"/>
  <c r="AF48" i="40" s="1"/>
  <c r="AH49" i="40"/>
  <c r="AC18" i="40"/>
  <c r="AK81" i="40"/>
  <c r="AL65" i="40"/>
  <c r="AL66" i="40" s="1"/>
  <c r="AK62" i="40" s="1"/>
  <c r="R32" i="40"/>
  <c r="Q32" i="40" s="1"/>
  <c r="S33" i="40"/>
  <c r="AC34" i="40"/>
  <c r="AB33" i="40"/>
  <c r="X34" i="40"/>
  <c r="AH34" i="40"/>
  <c r="AR50" i="40"/>
  <c r="V49" i="40"/>
  <c r="V50" i="40" s="1"/>
  <c r="W50" i="40"/>
  <c r="V46" i="40" s="1"/>
  <c r="N66" i="40"/>
  <c r="AB18" i="40"/>
  <c r="AA17" i="40"/>
  <c r="AA18" i="40" s="1"/>
  <c r="L81" i="40"/>
  <c r="L12" i="40"/>
  <c r="AH18" i="40"/>
  <c r="H77" i="40"/>
  <c r="G76" i="40"/>
  <c r="G77" i="40" s="1"/>
  <c r="P102" i="40"/>
  <c r="B48" i="40"/>
  <c r="D49" i="40"/>
  <c r="C49" i="40" s="1"/>
  <c r="AA76" i="40"/>
  <c r="AA77" i="40" s="1"/>
  <c r="AB77" i="40"/>
  <c r="D66" i="40"/>
  <c r="G48" i="40"/>
  <c r="I49" i="40"/>
  <c r="H49" i="40" s="1"/>
  <c r="Q64" i="40"/>
  <c r="S65" i="40"/>
  <c r="R65" i="40" s="1"/>
  <c r="H34" i="40"/>
  <c r="G30" i="40" s="1"/>
  <c r="G33" i="40"/>
  <c r="G34" i="40" s="1"/>
  <c r="AL34" i="40"/>
  <c r="AK30" i="40" s="1"/>
  <c r="AK33" i="40"/>
  <c r="AK34" i="40" s="1"/>
  <c r="B12" i="40"/>
  <c r="B81" i="40"/>
  <c r="N34" i="40"/>
  <c r="H18" i="40"/>
  <c r="G17" i="40"/>
  <c r="G18" i="40" s="1"/>
  <c r="D18" i="40"/>
  <c r="N18" i="40"/>
  <c r="AK80" i="40"/>
  <c r="AK13" i="40"/>
  <c r="AK79" i="40" s="1"/>
  <c r="V81" i="40"/>
  <c r="V12" i="40"/>
  <c r="AL50" i="40"/>
  <c r="AK46" i="40" s="1"/>
  <c r="AK49" i="40"/>
  <c r="AK50" i="40" s="1"/>
  <c r="AF81" i="40"/>
  <c r="AF12" i="40"/>
  <c r="G12" i="40"/>
  <c r="G81" i="40"/>
  <c r="AC50" i="40"/>
  <c r="AP12" i="40"/>
  <c r="AP81" i="40"/>
  <c r="S50" i="40"/>
  <c r="S18" i="40"/>
  <c r="AR66" i="40"/>
  <c r="X18" i="40"/>
  <c r="N49" i="40"/>
  <c r="M49" i="40" s="1"/>
  <c r="L48" i="40"/>
  <c r="AA80" i="40"/>
  <c r="AA13" i="40"/>
  <c r="AA79" i="40" s="1"/>
  <c r="F102" i="40"/>
  <c r="D34" i="40"/>
  <c r="AH66" i="40"/>
  <c r="AR34" i="40"/>
  <c r="Q81" i="40"/>
  <c r="Q12" i="40"/>
  <c r="I66" i="40"/>
  <c r="AC65" i="40"/>
  <c r="AB65" i="40" s="1"/>
  <c r="AA64" i="40"/>
  <c r="X65" i="40"/>
  <c r="W65" i="40" s="1"/>
  <c r="V64" i="40"/>
  <c r="M77" i="40"/>
  <c r="L76" i="40"/>
  <c r="L77" i="40" s="1"/>
  <c r="M50" i="36"/>
  <c r="L46" i="36" s="1"/>
  <c r="B81" i="36"/>
  <c r="AK74" i="36"/>
  <c r="D18" i="36"/>
  <c r="B81" i="38"/>
  <c r="AF80" i="36"/>
  <c r="V81" i="36"/>
  <c r="C77" i="36"/>
  <c r="B76" i="36"/>
  <c r="B77" i="36" s="1"/>
  <c r="D65" i="38"/>
  <c r="C64" i="38"/>
  <c r="B64" i="38" s="1"/>
  <c r="D18" i="38"/>
  <c r="D50" i="38"/>
  <c r="C77" i="38"/>
  <c r="B76" i="38"/>
  <c r="B77" i="38" s="1"/>
  <c r="G12" i="38"/>
  <c r="G81" i="38"/>
  <c r="AM65" i="38"/>
  <c r="AL65" i="38" s="1"/>
  <c r="AK64" i="38"/>
  <c r="AB34" i="38"/>
  <c r="AA30" i="38" s="1"/>
  <c r="AA33" i="38"/>
  <c r="AA34" i="38" s="1"/>
  <c r="AH34" i="38"/>
  <c r="AA81" i="38"/>
  <c r="AA12" i="38"/>
  <c r="C18" i="38"/>
  <c r="B17" i="38"/>
  <c r="B18" i="38" s="1"/>
  <c r="AC18" i="38"/>
  <c r="AC66" i="38"/>
  <c r="AK81" i="38"/>
  <c r="AK12" i="38"/>
  <c r="AR34" i="38"/>
  <c r="AH65" i="38"/>
  <c r="AG65" i="38" s="1"/>
  <c r="AF64" i="38"/>
  <c r="M50" i="38"/>
  <c r="L46" i="38" s="1"/>
  <c r="L49" i="38"/>
  <c r="L50" i="38" s="1"/>
  <c r="AG50" i="38"/>
  <c r="AF46" i="38" s="1"/>
  <c r="AF49" i="38"/>
  <c r="AF50" i="38" s="1"/>
  <c r="O101" i="38"/>
  <c r="AP81" i="38"/>
  <c r="AP12" i="38"/>
  <c r="AF81" i="38"/>
  <c r="AF12" i="38"/>
  <c r="AR18" i="38"/>
  <c r="F102" i="38"/>
  <c r="AR50" i="38"/>
  <c r="B80" i="38"/>
  <c r="B13" i="38"/>
  <c r="B79" i="38" s="1"/>
  <c r="V80" i="38"/>
  <c r="V13" i="38"/>
  <c r="V79" i="38" s="1"/>
  <c r="W34" i="38"/>
  <c r="V30" i="38" s="1"/>
  <c r="V33" i="38"/>
  <c r="V34" i="38" s="1"/>
  <c r="S34" i="38"/>
  <c r="AF76" i="38"/>
  <c r="AF77" i="38" s="1"/>
  <c r="AG77" i="38"/>
  <c r="I65" i="38"/>
  <c r="H65" i="38" s="1"/>
  <c r="G64" i="38"/>
  <c r="L32" i="38"/>
  <c r="N33" i="38"/>
  <c r="M33" i="38" s="1"/>
  <c r="X66" i="38"/>
  <c r="AF17" i="38"/>
  <c r="AF18" i="38" s="1"/>
  <c r="AG18" i="38"/>
  <c r="I50" i="38"/>
  <c r="AL50" i="38"/>
  <c r="AK46" i="38" s="1"/>
  <c r="AK49" i="38"/>
  <c r="AK50" i="38" s="1"/>
  <c r="V48" i="38"/>
  <c r="X49" i="38"/>
  <c r="W49" i="38" s="1"/>
  <c r="AM18" i="38"/>
  <c r="B33" i="38"/>
  <c r="B34" i="38" s="1"/>
  <c r="C34" i="38"/>
  <c r="B30" i="38" s="1"/>
  <c r="P102" i="38"/>
  <c r="AM34" i="38"/>
  <c r="O100" i="38"/>
  <c r="N65" i="38"/>
  <c r="M65" i="38" s="1"/>
  <c r="L64" i="38"/>
  <c r="S17" i="38"/>
  <c r="R17" i="38" s="1"/>
  <c r="Q16" i="38"/>
  <c r="H77" i="38"/>
  <c r="G76" i="38"/>
  <c r="G77" i="38" s="1"/>
  <c r="AR66" i="38"/>
  <c r="I34" i="38"/>
  <c r="V80" i="36"/>
  <c r="C66" i="36"/>
  <c r="B62" i="36" s="1"/>
  <c r="B65" i="36"/>
  <c r="B66" i="36" s="1"/>
  <c r="AH18" i="36"/>
  <c r="AG17" i="36"/>
  <c r="AG18" i="36" s="1"/>
  <c r="AF14" i="36" s="1"/>
  <c r="AQ34" i="36"/>
  <c r="AP30" i="36" s="1"/>
  <c r="AP33" i="36"/>
  <c r="AP34" i="36" s="1"/>
  <c r="AF81" i="36"/>
  <c r="M34" i="36"/>
  <c r="L30" i="36" s="1"/>
  <c r="AK29" i="36"/>
  <c r="AK79" i="36" s="1"/>
  <c r="Q76" i="36"/>
  <c r="Q77" i="36" s="1"/>
  <c r="AP74" i="36"/>
  <c r="AG64" i="36"/>
  <c r="AF64" i="36" s="1"/>
  <c r="AH65" i="36"/>
  <c r="X34" i="36"/>
  <c r="W33" i="36"/>
  <c r="N34" i="36"/>
  <c r="AF79" i="36"/>
  <c r="AA80" i="36"/>
  <c r="AA13" i="36"/>
  <c r="AA79" i="36" s="1"/>
  <c r="X18" i="36"/>
  <c r="N18" i="36"/>
  <c r="B13" i="36"/>
  <c r="B79" i="36" s="1"/>
  <c r="B80" i="36"/>
  <c r="X50" i="36"/>
  <c r="AC34" i="36"/>
  <c r="Q48" i="36"/>
  <c r="S49" i="36"/>
  <c r="R49" i="36" s="1"/>
  <c r="S34" i="36"/>
  <c r="AC65" i="36"/>
  <c r="AB65" i="36" s="1"/>
  <c r="AA64" i="36"/>
  <c r="L81" i="36"/>
  <c r="L12" i="36"/>
  <c r="AK16" i="36"/>
  <c r="AM17" i="36"/>
  <c r="AL17" i="36" s="1"/>
  <c r="AL77" i="36"/>
  <c r="AK76" i="36"/>
  <c r="AK77" i="36" s="1"/>
  <c r="AC18" i="36"/>
  <c r="Q80" i="36"/>
  <c r="Q13" i="36"/>
  <c r="Q79" i="36" s="1"/>
  <c r="AP48" i="36"/>
  <c r="AR49" i="36"/>
  <c r="AQ49" i="36" s="1"/>
  <c r="L76" i="36"/>
  <c r="L77" i="36" s="1"/>
  <c r="M77" i="36"/>
  <c r="G48" i="36"/>
  <c r="I49" i="36"/>
  <c r="H49" i="36" s="1"/>
  <c r="I18" i="36"/>
  <c r="AH34" i="36"/>
  <c r="AF49" i="36"/>
  <c r="AF50" i="36" s="1"/>
  <c r="AG50" i="36"/>
  <c r="AF46" i="36" s="1"/>
  <c r="C18" i="36"/>
  <c r="B17" i="36"/>
  <c r="B18" i="36" s="1"/>
  <c r="D34" i="36"/>
  <c r="AM49" i="36"/>
  <c r="AL49" i="36" s="1"/>
  <c r="AK48" i="36"/>
  <c r="AR18" i="36"/>
  <c r="AC50" i="36"/>
  <c r="D50" i="36"/>
  <c r="AR66" i="36"/>
  <c r="AM66" i="36"/>
  <c r="AK32" i="36"/>
  <c r="AM33" i="36"/>
  <c r="AL33" i="36" s="1"/>
  <c r="I66" i="36"/>
  <c r="AP12" i="36"/>
  <c r="AP81" i="36"/>
  <c r="N66" i="36"/>
  <c r="Q81" i="36"/>
  <c r="AB77" i="36"/>
  <c r="AA76" i="36"/>
  <c r="AA77" i="36" s="1"/>
  <c r="S66" i="36"/>
  <c r="R18" i="36"/>
  <c r="Q17" i="36"/>
  <c r="Q18" i="36" s="1"/>
  <c r="AP76" i="36"/>
  <c r="AP77" i="36" s="1"/>
  <c r="AQ77" i="36"/>
  <c r="X66" i="36"/>
  <c r="I33" i="36"/>
  <c r="H33" i="36" s="1"/>
  <c r="G32" i="36"/>
  <c r="G13" i="36"/>
  <c r="G79" i="36" s="1"/>
  <c r="G80" i="36"/>
  <c r="AR18" i="40" l="1"/>
  <c r="P38" i="4"/>
  <c r="C30" i="23" s="1"/>
  <c r="O102" i="40"/>
  <c r="AC50" i="38"/>
  <c r="R66" i="38"/>
  <c r="Q62" i="38" s="1"/>
  <c r="Q65" i="38"/>
  <c r="Q66" i="38" s="1"/>
  <c r="O102" i="38"/>
  <c r="AK65" i="40"/>
  <c r="AK66" i="40" s="1"/>
  <c r="AG49" i="40"/>
  <c r="AH50" i="40"/>
  <c r="AL86" i="40"/>
  <c r="AL87" i="40" s="1"/>
  <c r="AL88" i="40" s="1"/>
  <c r="BL98" i="40" s="1"/>
  <c r="S34" i="40"/>
  <c r="R33" i="40"/>
  <c r="R34" i="40" s="1"/>
  <c r="Q30" i="40" s="1"/>
  <c r="AB34" i="40"/>
  <c r="AA30" i="40" s="1"/>
  <c r="AA33" i="40"/>
  <c r="AA34" i="40" s="1"/>
  <c r="AF65" i="40"/>
  <c r="AF66" i="40" s="1"/>
  <c r="AG66" i="40"/>
  <c r="AF62" i="40" s="1"/>
  <c r="AQ85" i="40"/>
  <c r="X66" i="40"/>
  <c r="W85" i="40" s="1"/>
  <c r="M34" i="40"/>
  <c r="L30" i="40" s="1"/>
  <c r="L33" i="40"/>
  <c r="L34" i="40" s="1"/>
  <c r="M66" i="40"/>
  <c r="L62" i="40" s="1"/>
  <c r="L65" i="40"/>
  <c r="L66" i="40" s="1"/>
  <c r="AQ34" i="40"/>
  <c r="AP30" i="40" s="1"/>
  <c r="AP33" i="40"/>
  <c r="AP34" i="40" s="1"/>
  <c r="I50" i="40"/>
  <c r="H85" i="40" s="1"/>
  <c r="AA49" i="40"/>
  <c r="AA50" i="40" s="1"/>
  <c r="AB50" i="40"/>
  <c r="AA46" i="40" s="1"/>
  <c r="C66" i="40"/>
  <c r="B62" i="40" s="1"/>
  <c r="B65" i="40"/>
  <c r="B66" i="40" s="1"/>
  <c r="W34" i="40"/>
  <c r="V30" i="40" s="1"/>
  <c r="V33" i="40"/>
  <c r="V34" i="40" s="1"/>
  <c r="AK14" i="40"/>
  <c r="B13" i="40"/>
  <c r="B79" i="40" s="1"/>
  <c r="B80" i="40"/>
  <c r="AP49" i="40"/>
  <c r="AP50" i="40" s="1"/>
  <c r="AQ50" i="40"/>
  <c r="AP46" i="40" s="1"/>
  <c r="W18" i="40"/>
  <c r="V17" i="40"/>
  <c r="V18" i="40" s="1"/>
  <c r="AG85" i="40"/>
  <c r="B33" i="40"/>
  <c r="B34" i="40" s="1"/>
  <c r="C34" i="40"/>
  <c r="B30" i="40" s="1"/>
  <c r="AQ18" i="40"/>
  <c r="AP17" i="40"/>
  <c r="AP18" i="40" s="1"/>
  <c r="Q49" i="40"/>
  <c r="Q50" i="40" s="1"/>
  <c r="R50" i="40"/>
  <c r="Q46" i="40" s="1"/>
  <c r="B17" i="40"/>
  <c r="B18" i="40" s="1"/>
  <c r="C18" i="40"/>
  <c r="AQ66" i="40"/>
  <c r="AP62" i="40" s="1"/>
  <c r="AP65" i="40"/>
  <c r="AP66" i="40" s="1"/>
  <c r="AA14" i="40"/>
  <c r="Q17" i="40"/>
  <c r="Q18" i="40" s="1"/>
  <c r="R18" i="40"/>
  <c r="N50" i="40"/>
  <c r="M85" i="40" s="1"/>
  <c r="AF17" i="40"/>
  <c r="AF18" i="40" s="1"/>
  <c r="AG18" i="40"/>
  <c r="G80" i="40"/>
  <c r="G13" i="40"/>
  <c r="G79" i="40" s="1"/>
  <c r="AF80" i="40"/>
  <c r="AF13" i="40"/>
  <c r="AF79" i="40" s="1"/>
  <c r="M18" i="40"/>
  <c r="L17" i="40"/>
  <c r="L18" i="40" s="1"/>
  <c r="L13" i="40"/>
  <c r="L79" i="40" s="1"/>
  <c r="L80" i="40"/>
  <c r="AC66" i="40"/>
  <c r="AB85" i="40" s="1"/>
  <c r="AG34" i="40"/>
  <c r="AF30" i="40" s="1"/>
  <c r="AF33" i="40"/>
  <c r="AF34" i="40" s="1"/>
  <c r="G65" i="40"/>
  <c r="G66" i="40" s="1"/>
  <c r="H66" i="40"/>
  <c r="G62" i="40" s="1"/>
  <c r="D50" i="40"/>
  <c r="C85" i="40" s="1"/>
  <c r="Q80" i="40"/>
  <c r="Q13" i="40"/>
  <c r="Q79" i="40" s="1"/>
  <c r="AP80" i="40"/>
  <c r="AP13" i="40"/>
  <c r="AP79" i="40" s="1"/>
  <c r="V80" i="40"/>
  <c r="V13" i="40"/>
  <c r="V79" i="40" s="1"/>
  <c r="S66" i="40"/>
  <c r="C85" i="36"/>
  <c r="C65" i="38"/>
  <c r="D66" i="38"/>
  <c r="C85" i="38" s="1"/>
  <c r="S18" i="38"/>
  <c r="R85" i="38" s="1"/>
  <c r="AP13" i="38"/>
  <c r="AP79" i="38" s="1"/>
  <c r="AP80" i="38"/>
  <c r="AB85" i="38"/>
  <c r="AQ18" i="38"/>
  <c r="AP17" i="38"/>
  <c r="AP18" i="38" s="1"/>
  <c r="AM66" i="38"/>
  <c r="AK17" i="38"/>
  <c r="AK18" i="38" s="1"/>
  <c r="AL18" i="38"/>
  <c r="X50" i="38"/>
  <c r="W85" i="38" s="1"/>
  <c r="AA80" i="38"/>
  <c r="AA13" i="38"/>
  <c r="AA79" i="38" s="1"/>
  <c r="AK33" i="38"/>
  <c r="AK34" i="38" s="1"/>
  <c r="AL34" i="38"/>
  <c r="AK30" i="38" s="1"/>
  <c r="AQ85" i="38"/>
  <c r="AF33" i="38"/>
  <c r="AF34" i="38" s="1"/>
  <c r="AG34" i="38"/>
  <c r="AF30" i="38" s="1"/>
  <c r="AK80" i="38"/>
  <c r="AK13" i="38"/>
  <c r="AK79" i="38" s="1"/>
  <c r="AP49" i="38"/>
  <c r="AP50" i="38" s="1"/>
  <c r="AQ50" i="38"/>
  <c r="AP46" i="38" s="1"/>
  <c r="B14" i="38"/>
  <c r="H34" i="38"/>
  <c r="G33" i="38"/>
  <c r="G34" i="38" s="1"/>
  <c r="W66" i="38"/>
  <c r="V62" i="38" s="1"/>
  <c r="V65" i="38"/>
  <c r="V66" i="38" s="1"/>
  <c r="N66" i="38"/>
  <c r="N34" i="38"/>
  <c r="AA49" i="38"/>
  <c r="AA50" i="38" s="1"/>
  <c r="AB50" i="38"/>
  <c r="AA46" i="38" s="1"/>
  <c r="AH66" i="38"/>
  <c r="AG85" i="38" s="1"/>
  <c r="AF14" i="38"/>
  <c r="AA17" i="38"/>
  <c r="AA18" i="38" s="1"/>
  <c r="AB18" i="38"/>
  <c r="Q33" i="38"/>
  <c r="Q34" i="38" s="1"/>
  <c r="R34" i="38"/>
  <c r="Q30" i="38" s="1"/>
  <c r="AL85" i="38"/>
  <c r="G80" i="38"/>
  <c r="G13" i="38"/>
  <c r="AA65" i="38"/>
  <c r="AA66" i="38" s="1"/>
  <c r="AB66" i="38"/>
  <c r="AA62" i="38" s="1"/>
  <c r="V14" i="38"/>
  <c r="B49" i="38"/>
  <c r="B50" i="38" s="1"/>
  <c r="C50" i="38"/>
  <c r="B46" i="38" s="1"/>
  <c r="AQ66" i="38"/>
  <c r="AP62" i="38" s="1"/>
  <c r="AP65" i="38"/>
  <c r="AP66" i="38" s="1"/>
  <c r="I66" i="38"/>
  <c r="H85" i="38" s="1"/>
  <c r="AF80" i="38"/>
  <c r="AF13" i="38"/>
  <c r="AF79" i="38" s="1"/>
  <c r="G49" i="38"/>
  <c r="G50" i="38" s="1"/>
  <c r="H50" i="38"/>
  <c r="G46" i="38" s="1"/>
  <c r="AP33" i="38"/>
  <c r="AP34" i="38" s="1"/>
  <c r="AQ34" i="38"/>
  <c r="AP30" i="38" s="1"/>
  <c r="M85" i="36"/>
  <c r="AH66" i="36"/>
  <c r="AG85" i="36" s="1"/>
  <c r="AG65" i="36"/>
  <c r="V33" i="36"/>
  <c r="V34" i="36" s="1"/>
  <c r="W34" i="36"/>
  <c r="V30" i="36" s="1"/>
  <c r="AF17" i="36"/>
  <c r="AF18" i="36" s="1"/>
  <c r="AA17" i="36"/>
  <c r="AA18" i="36" s="1"/>
  <c r="AB18" i="36"/>
  <c r="Q33" i="36"/>
  <c r="Q34" i="36" s="1"/>
  <c r="R34" i="36"/>
  <c r="Q30" i="36" s="1"/>
  <c r="AR50" i="36"/>
  <c r="AQ85" i="36" s="1"/>
  <c r="W85" i="36"/>
  <c r="Q14" i="36"/>
  <c r="AB34" i="36"/>
  <c r="AA30" i="36" s="1"/>
  <c r="AA33" i="36"/>
  <c r="AA34" i="36" s="1"/>
  <c r="B14" i="36"/>
  <c r="S50" i="36"/>
  <c r="R85" i="36" s="1"/>
  <c r="AK65" i="36"/>
  <c r="AK66" i="36" s="1"/>
  <c r="AL66" i="36"/>
  <c r="AK62" i="36" s="1"/>
  <c r="L65" i="36"/>
  <c r="L66" i="36" s="1"/>
  <c r="M66" i="36"/>
  <c r="L62" i="36" s="1"/>
  <c r="R66" i="36"/>
  <c r="Q62" i="36" s="1"/>
  <c r="Q65" i="36"/>
  <c r="Q66" i="36" s="1"/>
  <c r="AP80" i="36"/>
  <c r="AP13" i="36"/>
  <c r="AP79" i="36" s="1"/>
  <c r="AP65" i="36"/>
  <c r="AP66" i="36" s="1"/>
  <c r="AQ66" i="36"/>
  <c r="AP62" i="36" s="1"/>
  <c r="H18" i="36"/>
  <c r="G17" i="36"/>
  <c r="G18" i="36" s="1"/>
  <c r="V49" i="36"/>
  <c r="V50" i="36" s="1"/>
  <c r="W50" i="36"/>
  <c r="V46" i="36" s="1"/>
  <c r="C50" i="36"/>
  <c r="B46" i="36" s="1"/>
  <c r="B49" i="36"/>
  <c r="B50" i="36" s="1"/>
  <c r="AM34" i="36"/>
  <c r="AM18" i="36"/>
  <c r="AG34" i="36"/>
  <c r="AF33" i="36"/>
  <c r="AF34" i="36" s="1"/>
  <c r="I34" i="36"/>
  <c r="C34" i="36"/>
  <c r="B30" i="36" s="1"/>
  <c r="B33" i="36"/>
  <c r="B34" i="36" s="1"/>
  <c r="AA49" i="36"/>
  <c r="AA50" i="36" s="1"/>
  <c r="AB50" i="36"/>
  <c r="AA46" i="36" s="1"/>
  <c r="L17" i="36"/>
  <c r="L18" i="36" s="1"/>
  <c r="M18" i="36"/>
  <c r="AQ18" i="36"/>
  <c r="AP17" i="36"/>
  <c r="AP18" i="36" s="1"/>
  <c r="W18" i="36"/>
  <c r="V17" i="36"/>
  <c r="V18" i="36" s="1"/>
  <c r="AM50" i="36"/>
  <c r="L13" i="36"/>
  <c r="L79" i="36" s="1"/>
  <c r="L80" i="36"/>
  <c r="W66" i="36"/>
  <c r="V62" i="36" s="1"/>
  <c r="V65" i="36"/>
  <c r="V66" i="36" s="1"/>
  <c r="G65" i="36"/>
  <c r="G66" i="36" s="1"/>
  <c r="H66" i="36"/>
  <c r="G62" i="36" s="1"/>
  <c r="I50" i="36"/>
  <c r="AC66" i="36"/>
  <c r="AB85" i="36" s="1"/>
  <c r="BN101" i="40" l="1"/>
  <c r="BL100" i="40"/>
  <c r="H85" i="36"/>
  <c r="R85" i="40"/>
  <c r="AG50" i="40"/>
  <c r="AF46" i="40" s="1"/>
  <c r="AF49" i="40"/>
  <c r="AF50" i="40" s="1"/>
  <c r="G14" i="40"/>
  <c r="Q33" i="40"/>
  <c r="Q34" i="40" s="1"/>
  <c r="R66" i="40"/>
  <c r="Q62" i="40" s="1"/>
  <c r="Q65" i="40"/>
  <c r="Q66" i="40" s="1"/>
  <c r="L49" i="40"/>
  <c r="L50" i="40" s="1"/>
  <c r="M50" i="40"/>
  <c r="L46" i="40" s="1"/>
  <c r="B14" i="40"/>
  <c r="C50" i="40"/>
  <c r="B46" i="40" s="1"/>
  <c r="B49" i="40"/>
  <c r="B50" i="40" s="1"/>
  <c r="V14" i="40"/>
  <c r="AL89" i="40"/>
  <c r="BM12" i="4"/>
  <c r="L14" i="40"/>
  <c r="AQ86" i="40"/>
  <c r="AP14" i="40"/>
  <c r="AA65" i="40"/>
  <c r="AA66" i="40" s="1"/>
  <c r="AB66" i="40"/>
  <c r="AA62" i="40" s="1"/>
  <c r="AF14" i="40"/>
  <c r="AG86" i="40"/>
  <c r="Q14" i="40"/>
  <c r="W66" i="40"/>
  <c r="V62" i="40" s="1"/>
  <c r="V65" i="40"/>
  <c r="V66" i="40" s="1"/>
  <c r="H50" i="40"/>
  <c r="G49" i="40"/>
  <c r="G50" i="40" s="1"/>
  <c r="M85" i="38"/>
  <c r="B65" i="38"/>
  <c r="B66" i="38" s="1"/>
  <c r="C66" i="38"/>
  <c r="B62" i="38" s="1"/>
  <c r="L33" i="38"/>
  <c r="L34" i="38" s="1"/>
  <c r="M34" i="38"/>
  <c r="AP14" i="38"/>
  <c r="AQ86" i="38"/>
  <c r="AB86" i="38"/>
  <c r="AA14" i="38"/>
  <c r="G65" i="38"/>
  <c r="G66" i="38" s="1"/>
  <c r="H66" i="38"/>
  <c r="G62" i="38" s="1"/>
  <c r="AL66" i="38"/>
  <c r="AK62" i="38" s="1"/>
  <c r="AK65" i="38"/>
  <c r="AK66" i="38" s="1"/>
  <c r="L65" i="38"/>
  <c r="L66" i="38" s="1"/>
  <c r="M66" i="38"/>
  <c r="L62" i="38" s="1"/>
  <c r="AF65" i="38"/>
  <c r="AF66" i="38" s="1"/>
  <c r="AG66" i="38"/>
  <c r="AF62" i="38" s="1"/>
  <c r="AK14" i="38"/>
  <c r="R18" i="38"/>
  <c r="Q17" i="38"/>
  <c r="Q18" i="38" s="1"/>
  <c r="V49" i="38"/>
  <c r="V50" i="38" s="1"/>
  <c r="W50" i="38"/>
  <c r="G79" i="38"/>
  <c r="G14" i="38"/>
  <c r="G30" i="38"/>
  <c r="AF65" i="36"/>
  <c r="AF66" i="36" s="1"/>
  <c r="AG66" i="36"/>
  <c r="AF62" i="36" s="1"/>
  <c r="AL85" i="36"/>
  <c r="AP14" i="36"/>
  <c r="H34" i="36"/>
  <c r="G30" i="36" s="1"/>
  <c r="G33" i="36"/>
  <c r="G34" i="36" s="1"/>
  <c r="G14" i="36"/>
  <c r="R50" i="36"/>
  <c r="Q49" i="36"/>
  <c r="Q50" i="36" s="1"/>
  <c r="AA65" i="36"/>
  <c r="AA66" i="36" s="1"/>
  <c r="AB66" i="36"/>
  <c r="AA62" i="36" s="1"/>
  <c r="C86" i="36"/>
  <c r="W86" i="36"/>
  <c r="V14" i="36"/>
  <c r="M86" i="36"/>
  <c r="L14" i="36"/>
  <c r="AF30" i="36"/>
  <c r="AL18" i="36"/>
  <c r="AK17" i="36"/>
  <c r="AK18" i="36" s="1"/>
  <c r="AP49" i="36"/>
  <c r="AP50" i="36" s="1"/>
  <c r="AQ50" i="36"/>
  <c r="AP46" i="36" s="1"/>
  <c r="AL34" i="36"/>
  <c r="AK30" i="36" s="1"/>
  <c r="AK33" i="36"/>
  <c r="AK34" i="36" s="1"/>
  <c r="AK49" i="36"/>
  <c r="AK50" i="36" s="1"/>
  <c r="AL50" i="36"/>
  <c r="AK46" i="36" s="1"/>
  <c r="AA14" i="36"/>
  <c r="H50" i="36"/>
  <c r="G46" i="36" s="1"/>
  <c r="G49" i="36"/>
  <c r="G50" i="36" s="1"/>
  <c r="BL99" i="40" l="1"/>
  <c r="BM30" i="4" s="1"/>
  <c r="H86" i="38"/>
  <c r="G86" i="38" s="1"/>
  <c r="W86" i="40"/>
  <c r="M86" i="40"/>
  <c r="L86" i="40" s="1"/>
  <c r="Q86" i="40" s="1"/>
  <c r="V86" i="40" s="1"/>
  <c r="AA86" i="40" s="1"/>
  <c r="AF86" i="40" s="1"/>
  <c r="AK86" i="40" s="1"/>
  <c r="AP86" i="40" s="1"/>
  <c r="R86" i="40"/>
  <c r="R87" i="40" s="1"/>
  <c r="R88" i="40" s="1"/>
  <c r="BI98" i="40" s="1"/>
  <c r="W87" i="40"/>
  <c r="W88" i="40" s="1"/>
  <c r="AS98" i="40" s="1"/>
  <c r="G46" i="40"/>
  <c r="H86" i="40"/>
  <c r="C86" i="40"/>
  <c r="AQ87" i="40"/>
  <c r="AQ88" i="40" s="1"/>
  <c r="AB86" i="40"/>
  <c r="BM38" i="4"/>
  <c r="BL102" i="40"/>
  <c r="BO50" i="4"/>
  <c r="AG87" i="40"/>
  <c r="AG88" i="40" s="1"/>
  <c r="AL90" i="40"/>
  <c r="AG86" i="36"/>
  <c r="C86" i="38"/>
  <c r="AL86" i="38"/>
  <c r="AG86" i="38"/>
  <c r="H87" i="38"/>
  <c r="H88" i="38" s="1"/>
  <c r="V46" i="38"/>
  <c r="W86" i="38"/>
  <c r="L30" i="38"/>
  <c r="M86" i="38"/>
  <c r="AB87" i="38"/>
  <c r="AB88" i="38" s="1"/>
  <c r="AQ87" i="38"/>
  <c r="AQ88" i="38" s="1"/>
  <c r="R86" i="38"/>
  <c r="Q14" i="38"/>
  <c r="AK14" i="36"/>
  <c r="AL86" i="36"/>
  <c r="AG87" i="36"/>
  <c r="AG88" i="36" s="1"/>
  <c r="Q46" i="36"/>
  <c r="R86" i="36"/>
  <c r="AB86" i="36"/>
  <c r="H86" i="36"/>
  <c r="M87" i="36"/>
  <c r="M88" i="36" s="1"/>
  <c r="L86" i="36"/>
  <c r="Q86" i="36" s="1"/>
  <c r="V86" i="36" s="1"/>
  <c r="AA86" i="36" s="1"/>
  <c r="AF86" i="36" s="1"/>
  <c r="AK86" i="36" s="1"/>
  <c r="AP86" i="36" s="1"/>
  <c r="W87" i="36"/>
  <c r="W88" i="36" s="1"/>
  <c r="AS98" i="36" s="1"/>
  <c r="AT9" i="4" s="1"/>
  <c r="C87" i="36"/>
  <c r="C88" i="36" s="1"/>
  <c r="T9" i="4" s="1"/>
  <c r="B86" i="36"/>
  <c r="AQ86" i="36"/>
  <c r="AS100" i="40" l="1"/>
  <c r="AT101" i="40"/>
  <c r="AP98" i="40"/>
  <c r="BN98" i="40"/>
  <c r="BN100" i="40" s="1"/>
  <c r="BC98" i="40"/>
  <c r="BI100" i="40"/>
  <c r="BJ101" i="40"/>
  <c r="BO98" i="40"/>
  <c r="AG9" i="4"/>
  <c r="AV98" i="36"/>
  <c r="AW9" i="4" s="1"/>
  <c r="M87" i="40"/>
  <c r="M88" i="40" s="1"/>
  <c r="R89" i="40"/>
  <c r="AM12" i="4"/>
  <c r="R90" i="40"/>
  <c r="BJ12" i="4"/>
  <c r="AG89" i="40"/>
  <c r="AT12" i="4"/>
  <c r="W89" i="40"/>
  <c r="B86" i="40"/>
  <c r="C87" i="40"/>
  <c r="C88" i="40" s="1"/>
  <c r="V98" i="40" s="1"/>
  <c r="G86" i="40"/>
  <c r="H87" i="40"/>
  <c r="H88" i="40" s="1"/>
  <c r="AI98" i="40" s="1"/>
  <c r="AB87" i="40"/>
  <c r="AB88" i="40" s="1"/>
  <c r="AY98" i="40" s="1"/>
  <c r="AQ12" i="4"/>
  <c r="AQ89" i="40"/>
  <c r="BO12" i="4"/>
  <c r="BD12" i="4"/>
  <c r="T101" i="36"/>
  <c r="U47" i="4" s="1"/>
  <c r="S100" i="36"/>
  <c r="T35" i="4" s="1"/>
  <c r="AT101" i="36"/>
  <c r="AU47" i="4" s="1"/>
  <c r="AS100" i="36"/>
  <c r="AT35" i="4" s="1"/>
  <c r="AG101" i="36"/>
  <c r="AH47" i="4" s="1"/>
  <c r="AF100" i="36"/>
  <c r="AG35" i="4" s="1"/>
  <c r="C87" i="38"/>
  <c r="C88" i="38" s="1"/>
  <c r="B86" i="38"/>
  <c r="AP98" i="38"/>
  <c r="BN98" i="38"/>
  <c r="AQ89" i="38"/>
  <c r="BC98" i="38"/>
  <c r="W87" i="38"/>
  <c r="W88" i="38" s="1"/>
  <c r="H89" i="38"/>
  <c r="Y99" i="38" s="1"/>
  <c r="Z28" i="4" s="1"/>
  <c r="Y98" i="38"/>
  <c r="Z10" i="4" s="1"/>
  <c r="AG87" i="38"/>
  <c r="AG88" i="38"/>
  <c r="AB89" i="38"/>
  <c r="AY99" i="38" s="1"/>
  <c r="AZ28" i="4" s="1"/>
  <c r="AY98" i="38"/>
  <c r="AZ10" i="4" s="1"/>
  <c r="M87" i="38"/>
  <c r="M88" i="38" s="1"/>
  <c r="L86" i="38"/>
  <c r="Q86" i="38" s="1"/>
  <c r="V86" i="38" s="1"/>
  <c r="AA86" i="38" s="1"/>
  <c r="AF86" i="38" s="1"/>
  <c r="AK86" i="38" s="1"/>
  <c r="AP86" i="38" s="1"/>
  <c r="R87" i="38"/>
  <c r="R88" i="38" s="1"/>
  <c r="AL87" i="38"/>
  <c r="AL88" i="38" s="1"/>
  <c r="M89" i="36"/>
  <c r="AG89" i="36"/>
  <c r="AW101" i="36"/>
  <c r="AX47" i="4" s="1"/>
  <c r="AB87" i="36"/>
  <c r="AB88" i="36" s="1"/>
  <c r="AY98" i="36" s="1"/>
  <c r="AZ9" i="4" s="1"/>
  <c r="W89" i="36"/>
  <c r="AS99" i="36" s="1"/>
  <c r="AT27" i="4" s="1"/>
  <c r="H87" i="36"/>
  <c r="H88" i="36" s="1"/>
  <c r="G86" i="36"/>
  <c r="C89" i="36"/>
  <c r="AL87" i="36"/>
  <c r="AL88" i="36"/>
  <c r="AQ87" i="36"/>
  <c r="AQ88" i="36"/>
  <c r="R87" i="36"/>
  <c r="R88" i="36" s="1"/>
  <c r="AS99" i="40" l="1"/>
  <c r="AT30" i="4" s="1"/>
  <c r="BC100" i="40"/>
  <c r="BO100" i="40" s="1"/>
  <c r="BF101" i="40"/>
  <c r="BO101" i="40" s="1"/>
  <c r="AQ90" i="40"/>
  <c r="BN99" i="40"/>
  <c r="BO30" i="4" s="1"/>
  <c r="BC99" i="40"/>
  <c r="AP99" i="40"/>
  <c r="AQ30" i="4" s="1"/>
  <c r="AZ101" i="40"/>
  <c r="AY100" i="40"/>
  <c r="AS101" i="40"/>
  <c r="AP100" i="40"/>
  <c r="AM30" i="4"/>
  <c r="BI99" i="40"/>
  <c r="BJ30" i="4" s="1"/>
  <c r="M89" i="40"/>
  <c r="AV98" i="40"/>
  <c r="AJ101" i="40"/>
  <c r="AO101" i="40" s="1"/>
  <c r="AI100" i="40"/>
  <c r="AO100" i="40" s="1"/>
  <c r="AO98" i="40"/>
  <c r="AJ12" i="4"/>
  <c r="AB98" i="40"/>
  <c r="V100" i="40"/>
  <c r="Y101" i="40"/>
  <c r="W12" i="4"/>
  <c r="BP12" i="4"/>
  <c r="G11" i="23" s="1"/>
  <c r="AM9" i="4"/>
  <c r="BI98" i="36"/>
  <c r="BC9" i="4"/>
  <c r="AG27" i="4"/>
  <c r="AV99" i="36"/>
  <c r="AW27" i="4" s="1"/>
  <c r="Z9" i="4"/>
  <c r="AC9" i="4" s="1"/>
  <c r="AI98" i="36"/>
  <c r="M90" i="36"/>
  <c r="W90" i="40"/>
  <c r="M90" i="40"/>
  <c r="AG12" i="4"/>
  <c r="AZ101" i="36"/>
  <c r="BA47" i="4" s="1"/>
  <c r="BC47" i="4" s="1"/>
  <c r="AM101" i="36"/>
  <c r="AN47" i="4" s="1"/>
  <c r="Z101" i="36"/>
  <c r="AA47" i="4" s="1"/>
  <c r="AC47" i="4" s="1"/>
  <c r="H89" i="40"/>
  <c r="Z12" i="4"/>
  <c r="BJ38" i="4"/>
  <c r="C89" i="40"/>
  <c r="T12" i="4"/>
  <c r="AG90" i="40"/>
  <c r="BD38" i="4"/>
  <c r="BG50" i="4"/>
  <c r="BO38" i="4"/>
  <c r="AG38" i="4"/>
  <c r="AH50" i="4"/>
  <c r="BD30" i="4"/>
  <c r="AQ38" i="4"/>
  <c r="AT50" i="4"/>
  <c r="AZ12" i="4"/>
  <c r="AB89" i="40"/>
  <c r="AT38" i="4"/>
  <c r="AU50" i="4"/>
  <c r="AM38" i="4"/>
  <c r="AN50" i="4"/>
  <c r="C90" i="36"/>
  <c r="T27" i="4"/>
  <c r="C89" i="38"/>
  <c r="S99" i="38" s="1"/>
  <c r="T28" i="4" s="1"/>
  <c r="AC28" i="4" s="1"/>
  <c r="S98" i="38"/>
  <c r="T10" i="4" s="1"/>
  <c r="AC10" i="4" s="1"/>
  <c r="AL89" i="38"/>
  <c r="BL99" i="38" s="1"/>
  <c r="BL98" i="38"/>
  <c r="AL98" i="38"/>
  <c r="AM10" i="4" s="1"/>
  <c r="R89" i="38"/>
  <c r="AL99" i="38" s="1"/>
  <c r="AM28" i="4" s="1"/>
  <c r="AS98" i="38"/>
  <c r="AT10" i="4" s="1"/>
  <c r="BC10" i="4" s="1"/>
  <c r="W89" i="38"/>
  <c r="AS99" i="38" s="1"/>
  <c r="AT28" i="4" s="1"/>
  <c r="BC28" i="4" s="1"/>
  <c r="M89" i="38"/>
  <c r="AF99" i="38" s="1"/>
  <c r="AG28" i="4" s="1"/>
  <c r="AF98" i="38"/>
  <c r="AG10" i="4" s="1"/>
  <c r="AB90" i="38"/>
  <c r="BC100" i="38"/>
  <c r="Y100" i="38"/>
  <c r="Z36" i="4" s="1"/>
  <c r="AA48" i="4"/>
  <c r="AY100" i="38"/>
  <c r="AZ36" i="4" s="1"/>
  <c r="BA48" i="4"/>
  <c r="H90" i="38"/>
  <c r="AG89" i="38"/>
  <c r="AG90" i="38" s="1"/>
  <c r="AV98" i="38"/>
  <c r="AI98" i="38"/>
  <c r="BI98" i="38"/>
  <c r="AP99" i="38"/>
  <c r="BN99" i="38"/>
  <c r="BC99" i="38"/>
  <c r="AQ90" i="38"/>
  <c r="BN100" i="38"/>
  <c r="AP100" i="38"/>
  <c r="D102" i="36"/>
  <c r="BH102" i="36"/>
  <c r="AK102" i="36"/>
  <c r="R89" i="36"/>
  <c r="AB89" i="36"/>
  <c r="AY99" i="36" s="1"/>
  <c r="AZ27" i="4" s="1"/>
  <c r="H89" i="36"/>
  <c r="AG102" i="36"/>
  <c r="BI100" i="36"/>
  <c r="BJ35" i="4" s="1"/>
  <c r="BP35" i="4" s="1"/>
  <c r="G28" i="23" s="1"/>
  <c r="X102" i="36"/>
  <c r="J100" i="36"/>
  <c r="O98" i="36"/>
  <c r="BE102" i="36"/>
  <c r="AI100" i="36"/>
  <c r="AJ35" i="4" s="1"/>
  <c r="AN102" i="36"/>
  <c r="T102" i="36"/>
  <c r="AV100" i="36"/>
  <c r="AW35" i="4" s="1"/>
  <c r="AL89" i="36"/>
  <c r="AL90" i="36" s="1"/>
  <c r="BL98" i="36"/>
  <c r="BN101" i="36" s="1"/>
  <c r="BK102" i="36"/>
  <c r="AH102" i="36"/>
  <c r="F102" i="36"/>
  <c r="AX102" i="36"/>
  <c r="AR102" i="36"/>
  <c r="Y100" i="36"/>
  <c r="Z35" i="4" s="1"/>
  <c r="AC35" i="4" s="1"/>
  <c r="G102" i="36"/>
  <c r="BF102" i="36"/>
  <c r="W90" i="36"/>
  <c r="P100" i="36"/>
  <c r="AB98" i="36"/>
  <c r="BA102" i="36"/>
  <c r="BM102" i="36"/>
  <c r="AU102" i="36"/>
  <c r="BC98" i="36"/>
  <c r="BF101" i="36" s="1"/>
  <c r="AP98" i="36"/>
  <c r="AS101" i="36" s="1"/>
  <c r="AQ89" i="36"/>
  <c r="BN98" i="36"/>
  <c r="AD102" i="36"/>
  <c r="AW102" i="36"/>
  <c r="AF102" i="36"/>
  <c r="AG90" i="36"/>
  <c r="BG102" i="36"/>
  <c r="AQ102" i="36"/>
  <c r="E102" i="36"/>
  <c r="AT102" i="36"/>
  <c r="W102" i="36"/>
  <c r="BD102" i="36"/>
  <c r="R102" i="36"/>
  <c r="K100" i="36"/>
  <c r="H102" i="36"/>
  <c r="U102" i="36"/>
  <c r="AE102" i="36"/>
  <c r="N102" i="36"/>
  <c r="AA102" i="36"/>
  <c r="Q100" i="36"/>
  <c r="Q102" i="36" s="1"/>
  <c r="AP12" i="4" l="1"/>
  <c r="AY99" i="40"/>
  <c r="AZ30" i="4" s="1"/>
  <c r="BO99" i="40"/>
  <c r="AV100" i="40"/>
  <c r="BB100" i="40" s="1"/>
  <c r="AW101" i="40"/>
  <c r="BB101" i="40" s="1"/>
  <c r="BB98" i="40"/>
  <c r="AW12" i="4"/>
  <c r="BC12" i="4" s="1"/>
  <c r="BP98" i="40"/>
  <c r="AG30" i="4"/>
  <c r="AV99" i="40"/>
  <c r="Z30" i="4"/>
  <c r="AI99" i="40"/>
  <c r="T30" i="4"/>
  <c r="V99" i="40"/>
  <c r="AB101" i="40"/>
  <c r="Z50" i="4"/>
  <c r="AB100" i="40"/>
  <c r="BP100" i="40" s="1"/>
  <c r="W38" i="4"/>
  <c r="AP10" i="4"/>
  <c r="BQ10" i="4" s="1"/>
  <c r="AP28" i="4"/>
  <c r="BQ28" i="4" s="1"/>
  <c r="AC12" i="4"/>
  <c r="AJ102" i="40"/>
  <c r="AK50" i="4"/>
  <c r="AP50" i="4" s="1"/>
  <c r="BP30" i="4"/>
  <c r="BJ102" i="40"/>
  <c r="BK50" i="4"/>
  <c r="BP50" i="4" s="1"/>
  <c r="G39" i="23" s="1"/>
  <c r="AI102" i="40"/>
  <c r="AJ38" i="4"/>
  <c r="AP38" i="4" s="1"/>
  <c r="AW102" i="40"/>
  <c r="BP38" i="4"/>
  <c r="G30" i="23" s="1"/>
  <c r="M90" i="38"/>
  <c r="Y102" i="38"/>
  <c r="BJ9" i="4"/>
  <c r="BP9" i="4" s="1"/>
  <c r="G9" i="23" s="1"/>
  <c r="BJ101" i="36"/>
  <c r="AM27" i="4"/>
  <c r="BI99" i="36"/>
  <c r="BJ27" i="4" s="1"/>
  <c r="BP27" i="4" s="1"/>
  <c r="BC27" i="4"/>
  <c r="Z27" i="4"/>
  <c r="AC27" i="4" s="1"/>
  <c r="AI99" i="36"/>
  <c r="AJ27" i="4" s="1"/>
  <c r="AJ9" i="4"/>
  <c r="AP9" i="4" s="1"/>
  <c r="AJ101" i="36"/>
  <c r="AZ102" i="36"/>
  <c r="BB101" i="36"/>
  <c r="AB101" i="36"/>
  <c r="Z102" i="36"/>
  <c r="BI102" i="40"/>
  <c r="AV102" i="36"/>
  <c r="AI102" i="36"/>
  <c r="AT102" i="40"/>
  <c r="AM102" i="40"/>
  <c r="AL102" i="40"/>
  <c r="AF102" i="40"/>
  <c r="AB98" i="38"/>
  <c r="AM102" i="36"/>
  <c r="H90" i="36"/>
  <c r="S102" i="36"/>
  <c r="AZ102" i="38"/>
  <c r="AB99" i="38"/>
  <c r="AY102" i="38"/>
  <c r="Z102" i="38"/>
  <c r="BB98" i="38"/>
  <c r="BO98" i="38"/>
  <c r="BC102" i="38"/>
  <c r="AP102" i="38"/>
  <c r="BN102" i="40"/>
  <c r="AS102" i="40"/>
  <c r="AB90" i="40"/>
  <c r="BF102" i="40"/>
  <c r="AZ38" i="4"/>
  <c r="AY102" i="40"/>
  <c r="BA50" i="4"/>
  <c r="H90" i="40"/>
  <c r="BC102" i="40"/>
  <c r="AG102" i="40"/>
  <c r="Z38" i="4"/>
  <c r="AA50" i="4"/>
  <c r="T38" i="4"/>
  <c r="U50" i="4"/>
  <c r="AP102" i="40"/>
  <c r="C90" i="40"/>
  <c r="AS102" i="36"/>
  <c r="BO101" i="36"/>
  <c r="Y102" i="36"/>
  <c r="S100" i="38"/>
  <c r="T36" i="4" s="1"/>
  <c r="AC36" i="4" s="1"/>
  <c r="U48" i="4"/>
  <c r="AC48" i="4" s="1"/>
  <c r="C90" i="38"/>
  <c r="W90" i="38"/>
  <c r="AV100" i="38"/>
  <c r="BL100" i="38"/>
  <c r="BI100" i="38"/>
  <c r="AI100" i="38"/>
  <c r="AI102" i="38"/>
  <c r="AU48" i="4"/>
  <c r="BC48" i="4" s="1"/>
  <c r="AS100" i="38"/>
  <c r="AT36" i="4" s="1"/>
  <c r="BC36" i="4" s="1"/>
  <c r="AV99" i="38"/>
  <c r="BI99" i="38"/>
  <c r="AI99" i="38"/>
  <c r="R90" i="38"/>
  <c r="AF100" i="38"/>
  <c r="AG36" i="4" s="1"/>
  <c r="AO98" i="38"/>
  <c r="AH48" i="4"/>
  <c r="BF102" i="38"/>
  <c r="AL100" i="38"/>
  <c r="AM36" i="4" s="1"/>
  <c r="AN48" i="4"/>
  <c r="AL90" i="38"/>
  <c r="BI102" i="36"/>
  <c r="C102" i="36"/>
  <c r="I102" i="36"/>
  <c r="BC100" i="36"/>
  <c r="BO98" i="36"/>
  <c r="AY100" i="36"/>
  <c r="AZ35" i="4" s="1"/>
  <c r="BC35" i="4" s="1"/>
  <c r="M100" i="36"/>
  <c r="M102" i="36" s="1"/>
  <c r="J102" i="36"/>
  <c r="AC100" i="36"/>
  <c r="AO98" i="36"/>
  <c r="BN100" i="36"/>
  <c r="BN99" i="36"/>
  <c r="AP99" i="36"/>
  <c r="BC99" i="36"/>
  <c r="AL100" i="36"/>
  <c r="AM35" i="4" s="1"/>
  <c r="AP35" i="4" s="1"/>
  <c r="R90" i="36"/>
  <c r="BB98" i="36"/>
  <c r="AP100" i="36"/>
  <c r="L100" i="36"/>
  <c r="K102" i="36"/>
  <c r="AB90" i="36"/>
  <c r="BL100" i="36"/>
  <c r="AQ90" i="36"/>
  <c r="BL99" i="36"/>
  <c r="V102" i="36"/>
  <c r="BQ12" i="4" l="1"/>
  <c r="AV102" i="40"/>
  <c r="AX50" i="4"/>
  <c r="BB99" i="40"/>
  <c r="AW30" i="4"/>
  <c r="BC30" i="4" s="1"/>
  <c r="BC50" i="4"/>
  <c r="BP101" i="40"/>
  <c r="AW38" i="4"/>
  <c r="BC38" i="4" s="1"/>
  <c r="BQ38" i="4" s="1"/>
  <c r="AO99" i="40"/>
  <c r="AJ30" i="4"/>
  <c r="AP30" i="4" s="1"/>
  <c r="AB99" i="40"/>
  <c r="W30" i="4"/>
  <c r="AC30" i="4" s="1"/>
  <c r="V102" i="40"/>
  <c r="AC38" i="4"/>
  <c r="AP27" i="4"/>
  <c r="BQ27" i="4" s="1"/>
  <c r="AC50" i="4"/>
  <c r="BQ9" i="4"/>
  <c r="AP48" i="4"/>
  <c r="AP36" i="4"/>
  <c r="BQ36" i="4" s="1"/>
  <c r="BQ48" i="4"/>
  <c r="BK47" i="4"/>
  <c r="BP47" i="4" s="1"/>
  <c r="G37" i="23" s="1"/>
  <c r="BJ102" i="36"/>
  <c r="AK47" i="4"/>
  <c r="AP47" i="4" s="1"/>
  <c r="AJ102" i="36"/>
  <c r="AO101" i="36"/>
  <c r="BP101" i="36" s="1"/>
  <c r="BQ35" i="4"/>
  <c r="AO102" i="40"/>
  <c r="BL102" i="36"/>
  <c r="BN102" i="36"/>
  <c r="AZ102" i="40"/>
  <c r="BB102" i="40" s="1"/>
  <c r="Y102" i="40"/>
  <c r="Z102" i="40"/>
  <c r="AM102" i="38"/>
  <c r="BI102" i="38"/>
  <c r="AW102" i="38"/>
  <c r="AL102" i="38"/>
  <c r="AT102" i="38"/>
  <c r="BB99" i="38"/>
  <c r="BB100" i="38"/>
  <c r="AJ102" i="38"/>
  <c r="BP98" i="38"/>
  <c r="S102" i="38"/>
  <c r="BJ102" i="38"/>
  <c r="AO99" i="38"/>
  <c r="BN102" i="38"/>
  <c r="BO102" i="40"/>
  <c r="S102" i="40"/>
  <c r="T102" i="40"/>
  <c r="BO100" i="38"/>
  <c r="AB101" i="38"/>
  <c r="T102" i="38"/>
  <c r="AV102" i="38"/>
  <c r="AO100" i="38"/>
  <c r="BO99" i="38"/>
  <c r="AB100" i="38"/>
  <c r="BL102" i="38"/>
  <c r="AS102" i="38"/>
  <c r="BB101" i="38"/>
  <c r="BO101" i="38"/>
  <c r="AG102" i="38"/>
  <c r="AO101" i="38"/>
  <c r="AF102" i="38"/>
  <c r="AY102" i="36"/>
  <c r="AL102" i="36"/>
  <c r="BP98" i="36"/>
  <c r="BB100" i="36"/>
  <c r="O100" i="36"/>
  <c r="BO100" i="36"/>
  <c r="AB100" i="36"/>
  <c r="AO100" i="36"/>
  <c r="L102" i="36"/>
  <c r="O102" i="36" s="1"/>
  <c r="AO99" i="36"/>
  <c r="O99" i="36"/>
  <c r="AC102" i="36"/>
  <c r="BO99" i="36"/>
  <c r="BB99" i="36"/>
  <c r="BC102" i="36"/>
  <c r="BO102" i="36" s="1"/>
  <c r="AP102" i="36"/>
  <c r="AB99" i="36"/>
  <c r="P102" i="36"/>
  <c r="AB102" i="36" s="1"/>
  <c r="BQ50" i="4" l="1"/>
  <c r="BQ30" i="4"/>
  <c r="BP99" i="40"/>
  <c r="BQ47" i="4"/>
  <c r="AO102" i="38"/>
  <c r="BP99" i="38"/>
  <c r="BP101" i="38"/>
  <c r="AO102" i="36"/>
  <c r="AB102" i="38"/>
  <c r="BO102" i="38"/>
  <c r="AB102" i="40"/>
  <c r="BP102" i="40" s="1"/>
  <c r="BB102" i="36"/>
  <c r="BP100" i="38"/>
  <c r="BB102" i="38"/>
  <c r="BP100" i="36"/>
  <c r="BP99" i="36"/>
  <c r="BP102" i="36" l="1"/>
  <c r="BP102" i="38"/>
  <c r="D23" i="23" l="1"/>
  <c r="G25" i="23"/>
  <c r="D25" i="23"/>
  <c r="F25" i="23"/>
  <c r="E25" i="23"/>
  <c r="D24" i="23"/>
  <c r="F24" i="23"/>
  <c r="E24" i="23"/>
  <c r="G24" i="23"/>
  <c r="G23" i="23"/>
  <c r="F23" i="23"/>
  <c r="E23" i="23"/>
  <c r="E9" i="23"/>
  <c r="E10" i="23"/>
  <c r="D11" i="23"/>
  <c r="F10" i="23"/>
  <c r="F11" i="23"/>
  <c r="G10" i="23"/>
  <c r="F9" i="23"/>
  <c r="D9" i="23"/>
  <c r="D10" i="23"/>
  <c r="E11" i="23"/>
  <c r="G31" i="20"/>
  <c r="F31" i="20"/>
  <c r="D31" i="20"/>
  <c r="G30" i="20"/>
  <c r="F30" i="20"/>
  <c r="E30" i="20"/>
  <c r="D30" i="20"/>
  <c r="G29" i="20"/>
  <c r="F29" i="20"/>
  <c r="D29" i="20"/>
  <c r="G28" i="20"/>
  <c r="F28" i="20"/>
  <c r="E28" i="20"/>
  <c r="D28" i="20"/>
  <c r="G27" i="20"/>
  <c r="F27" i="20"/>
  <c r="E27" i="20"/>
  <c r="H25" i="23" l="1"/>
  <c r="H11" i="23"/>
  <c r="H9" i="23"/>
  <c r="H23" i="23"/>
  <c r="H24" i="23"/>
  <c r="H10" i="23"/>
  <c r="D38" i="23"/>
  <c r="G38" i="23"/>
  <c r="E39" i="23"/>
  <c r="D39" i="23"/>
  <c r="D30" i="23"/>
  <c r="G29" i="23"/>
  <c r="C38" i="23"/>
  <c r="E38" i="23"/>
  <c r="D29" i="23"/>
  <c r="F38" i="23"/>
  <c r="E29" i="23"/>
  <c r="X123" i="22"/>
  <c r="H38" i="23" l="1"/>
  <c r="F30" i="23"/>
  <c r="E30" i="23"/>
  <c r="F39" i="23"/>
  <c r="H39" i="23" s="1"/>
  <c r="F29" i="23"/>
  <c r="G124" i="22"/>
  <c r="H30" i="23" l="1"/>
  <c r="C29" i="23"/>
  <c r="H124" i="22"/>
  <c r="I124" i="22" s="1"/>
  <c r="J124" i="22" s="1"/>
  <c r="K124" i="22" s="1"/>
  <c r="L124" i="22" s="1"/>
  <c r="M124" i="22" s="1"/>
  <c r="N124" i="22" s="1"/>
  <c r="O124" i="22" s="1"/>
  <c r="P124" i="22" s="1"/>
  <c r="Q124" i="22" s="1"/>
  <c r="R124" i="22" s="1"/>
  <c r="T124" i="22" s="1"/>
  <c r="H29" i="23" l="1"/>
  <c r="U124" i="22"/>
  <c r="V124" i="22" s="1"/>
  <c r="W124" i="22" s="1"/>
  <c r="X124" i="22" s="1"/>
  <c r="Y124" i="22" s="1"/>
  <c r="Z124" i="22" s="1"/>
  <c r="AA124" i="22" s="1"/>
  <c r="AB124" i="22" s="1"/>
  <c r="AC124" i="22" s="1"/>
  <c r="AD124" i="22" s="1"/>
  <c r="AE124" i="22" s="1"/>
  <c r="AH124" i="22" s="1"/>
  <c r="AI124" i="22" s="1"/>
  <c r="AJ124" i="22" s="1"/>
  <c r="AK124" i="22" s="1"/>
  <c r="AL124" i="22" s="1"/>
  <c r="AN124" i="22" s="1"/>
  <c r="AO124" i="22" s="1"/>
  <c r="AP124" i="22" s="1"/>
  <c r="AQ124" i="22" s="1"/>
  <c r="AR124" i="22" s="1"/>
  <c r="AT124" i="22" s="1"/>
  <c r="AU124" i="22" s="1"/>
  <c r="AV124" i="22" s="1"/>
  <c r="AW124" i="22" s="1"/>
  <c r="AX124" i="22" s="1"/>
  <c r="AY124" i="22" s="1"/>
  <c r="AZ124" i="22" s="1"/>
  <c r="BA124" i="22" s="1"/>
  <c r="BB124" i="22" s="1"/>
  <c r="BC124" i="22" s="1"/>
  <c r="BD124" i="22" s="1"/>
  <c r="BE124" i="22" s="1"/>
  <c r="BG124" i="22" s="1"/>
  <c r="S124" i="22"/>
  <c r="AS124" i="22" l="1"/>
  <c r="AF124" i="22"/>
  <c r="BH124" i="22"/>
  <c r="BI124" i="22" s="1"/>
  <c r="BJ124" i="22" s="1"/>
  <c r="BK124" i="22" s="1"/>
  <c r="BL124" i="22" s="1"/>
  <c r="BM124" i="22" s="1"/>
  <c r="BN124" i="22" s="1"/>
  <c r="BO124" i="22" s="1"/>
  <c r="BP124" i="22" s="1"/>
  <c r="BQ124" i="22" s="1"/>
  <c r="BR124" i="22" s="1"/>
  <c r="BT124" i="22" s="1"/>
  <c r="BF124" i="22"/>
  <c r="BU124" i="22" l="1"/>
  <c r="BV124" i="22" s="1"/>
  <c r="BW124" i="22" s="1"/>
  <c r="BX124" i="22" s="1"/>
  <c r="BY124" i="22" s="1"/>
  <c r="BZ124" i="22" s="1"/>
  <c r="CA124" i="22" s="1"/>
  <c r="CB124" i="22" s="1"/>
  <c r="CC124" i="22" s="1"/>
  <c r="CD124" i="22" s="1"/>
  <c r="CE124" i="22" s="1"/>
  <c r="BS124" i="22"/>
  <c r="CF124" i="22" l="1"/>
  <c r="F37" i="23" l="1"/>
  <c r="E37" i="23"/>
  <c r="E28" i="23"/>
  <c r="D37" i="23"/>
  <c r="D28" i="23"/>
  <c r="E80" i="4"/>
  <c r="F80" i="4" s="1"/>
  <c r="G80" i="4" s="1"/>
  <c r="H80" i="4" s="1"/>
  <c r="AO3" i="30"/>
  <c r="AJ3" i="30"/>
  <c r="AE3" i="30"/>
  <c r="Z3" i="30"/>
  <c r="U3" i="30"/>
  <c r="P3" i="30"/>
  <c r="K3" i="30"/>
  <c r="F3" i="30"/>
  <c r="A3" i="30"/>
  <c r="E54" i="4"/>
  <c r="F54" i="4"/>
  <c r="G54" i="4"/>
  <c r="H54" i="4"/>
  <c r="I54" i="4"/>
  <c r="J54" i="4"/>
  <c r="E56" i="4"/>
  <c r="F56" i="4"/>
  <c r="G56" i="4"/>
  <c r="H56" i="4"/>
  <c r="I56" i="4"/>
  <c r="J56" i="4"/>
  <c r="D56" i="4"/>
  <c r="D54" i="4"/>
  <c r="D5" i="29"/>
  <c r="D27" i="20"/>
  <c r="B89" i="30"/>
  <c r="G13" i="31"/>
  <c r="B100" i="30" s="1"/>
  <c r="G12" i="31"/>
  <c r="G11" i="31"/>
  <c r="G10" i="31"/>
  <c r="G7" i="31"/>
  <c r="G6" i="31"/>
  <c r="E91" i="4"/>
  <c r="F81" i="4"/>
  <c r="AB123" i="22"/>
  <c r="AC123" i="22" s="1"/>
  <c r="AD123" i="22" s="1"/>
  <c r="AE123" i="22" s="1"/>
  <c r="AG123" i="22" s="1"/>
  <c r="G123" i="22"/>
  <c r="G121" i="22"/>
  <c r="T12" i="22"/>
  <c r="U12" i="22" s="1"/>
  <c r="T13" i="22"/>
  <c r="U13" i="22" s="1"/>
  <c r="T14" i="22"/>
  <c r="U14" i="22" s="1"/>
  <c r="T15" i="22"/>
  <c r="U15" i="22" s="1"/>
  <c r="T16" i="22"/>
  <c r="U16" i="22" s="1"/>
  <c r="BN26" i="4"/>
  <c r="BL26" i="4"/>
  <c r="BK26" i="4"/>
  <c r="BI26" i="4"/>
  <c r="BH26" i="4"/>
  <c r="BG26" i="4"/>
  <c r="BF26" i="4"/>
  <c r="BE26" i="4"/>
  <c r="BB26" i="4"/>
  <c r="BA26" i="4"/>
  <c r="AY26" i="4"/>
  <c r="AX26" i="4"/>
  <c r="AV26" i="4"/>
  <c r="AU26" i="4"/>
  <c r="AT26" i="4"/>
  <c r="AS26" i="4"/>
  <c r="AR26" i="4"/>
  <c r="AO26" i="4"/>
  <c r="AN26" i="4"/>
  <c r="AL26" i="4"/>
  <c r="AK26" i="4"/>
  <c r="AI26" i="4"/>
  <c r="AH26" i="4"/>
  <c r="AG26" i="4"/>
  <c r="AF26" i="4"/>
  <c r="AE26" i="4"/>
  <c r="AB26" i="4"/>
  <c r="AA26" i="4"/>
  <c r="Y26" i="4"/>
  <c r="X26" i="4"/>
  <c r="V26" i="4"/>
  <c r="U26" i="4"/>
  <c r="E26" i="4"/>
  <c r="F26" i="4"/>
  <c r="G26" i="4"/>
  <c r="H26" i="4"/>
  <c r="I26" i="4"/>
  <c r="D26" i="4"/>
  <c r="BN7" i="4"/>
  <c r="BL7" i="4"/>
  <c r="BK7" i="4"/>
  <c r="BI7" i="4"/>
  <c r="BH7" i="4"/>
  <c r="BG7" i="4"/>
  <c r="BF7" i="4"/>
  <c r="BE7" i="4"/>
  <c r="BB7" i="4"/>
  <c r="BA7" i="4"/>
  <c r="AY7" i="4"/>
  <c r="AX7" i="4"/>
  <c r="AV7" i="4"/>
  <c r="AU7" i="4"/>
  <c r="AT7" i="4"/>
  <c r="AS7" i="4"/>
  <c r="AR7" i="4"/>
  <c r="AO7" i="4"/>
  <c r="AN7" i="4"/>
  <c r="AL7" i="4"/>
  <c r="AK7" i="4"/>
  <c r="AI7" i="4"/>
  <c r="AH7" i="4"/>
  <c r="AG7" i="4"/>
  <c r="AF7" i="4"/>
  <c r="AE7" i="4"/>
  <c r="AB7" i="4"/>
  <c r="AA7" i="4"/>
  <c r="Y7" i="4"/>
  <c r="X7" i="4"/>
  <c r="V7" i="4"/>
  <c r="U7" i="4"/>
  <c r="T7" i="4"/>
  <c r="S7" i="4"/>
  <c r="E7" i="4"/>
  <c r="F7" i="4"/>
  <c r="G7" i="4"/>
  <c r="H7" i="4"/>
  <c r="I7" i="4"/>
  <c r="D7" i="4"/>
  <c r="AP72" i="30"/>
  <c r="AP71" i="30"/>
  <c r="AQ69" i="30"/>
  <c r="AP59" i="30"/>
  <c r="AP58" i="30"/>
  <c r="AP56" i="30"/>
  <c r="AP55" i="30"/>
  <c r="AQ53" i="30"/>
  <c r="AP43" i="30"/>
  <c r="AP42" i="30"/>
  <c r="AP40" i="30"/>
  <c r="AP39" i="30"/>
  <c r="AQ37" i="30"/>
  <c r="AP27" i="30"/>
  <c r="AP26" i="30"/>
  <c r="AP24" i="30"/>
  <c r="AP23" i="30"/>
  <c r="AQ21" i="30"/>
  <c r="AP11" i="30"/>
  <c r="AP10" i="30"/>
  <c r="AP8" i="30"/>
  <c r="AP7" i="30"/>
  <c r="AQ5" i="30"/>
  <c r="AP3" i="30"/>
  <c r="AK72" i="30"/>
  <c r="AK71" i="30"/>
  <c r="AL69" i="30"/>
  <c r="AK59" i="30"/>
  <c r="AK58" i="30"/>
  <c r="AK56" i="30"/>
  <c r="AK55" i="30"/>
  <c r="AL53" i="30"/>
  <c r="AK43" i="30"/>
  <c r="AK42" i="30"/>
  <c r="AK40" i="30"/>
  <c r="AK39" i="30"/>
  <c r="AL37" i="30"/>
  <c r="AK27" i="30"/>
  <c r="AK26" i="30"/>
  <c r="AK24" i="30"/>
  <c r="AK23" i="30"/>
  <c r="AL21" i="30"/>
  <c r="AK11" i="30"/>
  <c r="AK10" i="30"/>
  <c r="AK8" i="30"/>
  <c r="AK7" i="30"/>
  <c r="AL5" i="30"/>
  <c r="AK3" i="30"/>
  <c r="AF72" i="30"/>
  <c r="AF71" i="30"/>
  <c r="AG69" i="30"/>
  <c r="AF59" i="30"/>
  <c r="AF58" i="30"/>
  <c r="AF56" i="30"/>
  <c r="AF55" i="30"/>
  <c r="AG53" i="30"/>
  <c r="AF43" i="30"/>
  <c r="AF42" i="30"/>
  <c r="AF40" i="30"/>
  <c r="AF39" i="30"/>
  <c r="AG37" i="30"/>
  <c r="AF27" i="30"/>
  <c r="AF26" i="30"/>
  <c r="AF24" i="30"/>
  <c r="AF23" i="30"/>
  <c r="AG21" i="30"/>
  <c r="AF11" i="30"/>
  <c r="AF10" i="30"/>
  <c r="AF8" i="30"/>
  <c r="AF7" i="30"/>
  <c r="AG5" i="30"/>
  <c r="AF3" i="30"/>
  <c r="AA72" i="30"/>
  <c r="AA71" i="30"/>
  <c r="AB69" i="30"/>
  <c r="AA59" i="30"/>
  <c r="AA58" i="30"/>
  <c r="AA56" i="30"/>
  <c r="AA55" i="30"/>
  <c r="AB53" i="30"/>
  <c r="AA43" i="30"/>
  <c r="AA42" i="30"/>
  <c r="AA40" i="30"/>
  <c r="AA39" i="30"/>
  <c r="AB37" i="30"/>
  <c r="AA27" i="30"/>
  <c r="AA26" i="30"/>
  <c r="AA24" i="30"/>
  <c r="AA23" i="30"/>
  <c r="AB21" i="30"/>
  <c r="AA11" i="30"/>
  <c r="AA10" i="30"/>
  <c r="AA8" i="30"/>
  <c r="AA7" i="30"/>
  <c r="AB5" i="30"/>
  <c r="AA3" i="30"/>
  <c r="V72" i="30"/>
  <c r="V71" i="30"/>
  <c r="W69" i="30"/>
  <c r="V59" i="30"/>
  <c r="V58" i="30"/>
  <c r="V56" i="30"/>
  <c r="V55" i="30"/>
  <c r="W53" i="30"/>
  <c r="V43" i="30"/>
  <c r="V42" i="30"/>
  <c r="V40" i="30"/>
  <c r="V39" i="30"/>
  <c r="W37" i="30"/>
  <c r="V27" i="30"/>
  <c r="V26" i="30"/>
  <c r="V24" i="30"/>
  <c r="V23" i="30"/>
  <c r="W21" i="30"/>
  <c r="V11" i="30"/>
  <c r="V10" i="30"/>
  <c r="V8" i="30"/>
  <c r="V7" i="30"/>
  <c r="W5" i="30"/>
  <c r="V3" i="30"/>
  <c r="Q72" i="30"/>
  <c r="Q71" i="30"/>
  <c r="R69" i="30"/>
  <c r="Q59" i="30"/>
  <c r="Q58" i="30"/>
  <c r="Q56" i="30"/>
  <c r="Q55" i="30"/>
  <c r="R53" i="30"/>
  <c r="Q43" i="30"/>
  <c r="Q42" i="30"/>
  <c r="Q40" i="30"/>
  <c r="Q39" i="30"/>
  <c r="R37" i="30"/>
  <c r="Q27" i="30"/>
  <c r="Q26" i="30"/>
  <c r="Q24" i="30"/>
  <c r="Q23" i="30"/>
  <c r="R21" i="30"/>
  <c r="Q11" i="30"/>
  <c r="Q10" i="30"/>
  <c r="Q8" i="30"/>
  <c r="Q7" i="30"/>
  <c r="R5" i="30"/>
  <c r="Q3" i="30"/>
  <c r="L72" i="30"/>
  <c r="L71" i="30"/>
  <c r="M69" i="30"/>
  <c r="L59" i="30"/>
  <c r="L58" i="30"/>
  <c r="L56" i="30"/>
  <c r="L55" i="30"/>
  <c r="M53" i="30"/>
  <c r="L43" i="30"/>
  <c r="L42" i="30"/>
  <c r="L40" i="30"/>
  <c r="L39" i="30"/>
  <c r="M37" i="30"/>
  <c r="L27" i="30"/>
  <c r="L26" i="30"/>
  <c r="L24" i="30"/>
  <c r="L23" i="30"/>
  <c r="M21" i="30"/>
  <c r="B27" i="30"/>
  <c r="B26" i="30"/>
  <c r="B24" i="30"/>
  <c r="B23" i="30"/>
  <c r="C21" i="30"/>
  <c r="L11" i="30"/>
  <c r="L10" i="30"/>
  <c r="L8" i="30"/>
  <c r="L7" i="30"/>
  <c r="M5" i="30"/>
  <c r="L3" i="30"/>
  <c r="H69" i="30"/>
  <c r="G72" i="30"/>
  <c r="G71" i="30"/>
  <c r="G59" i="30"/>
  <c r="G58" i="30"/>
  <c r="G56" i="30"/>
  <c r="G55" i="30"/>
  <c r="H53" i="30"/>
  <c r="G43" i="30"/>
  <c r="G42" i="30"/>
  <c r="G40" i="30"/>
  <c r="G39" i="30"/>
  <c r="H37" i="30"/>
  <c r="G27" i="30"/>
  <c r="G26" i="30"/>
  <c r="G24" i="30"/>
  <c r="G23" i="30"/>
  <c r="H21" i="30"/>
  <c r="G11" i="30"/>
  <c r="G10" i="30"/>
  <c r="G8" i="30"/>
  <c r="G7" i="30"/>
  <c r="H5" i="30"/>
  <c r="G3" i="30"/>
  <c r="B3" i="30"/>
  <c r="B72" i="30"/>
  <c r="B71" i="30"/>
  <c r="C69" i="30"/>
  <c r="B59" i="30"/>
  <c r="B58" i="30"/>
  <c r="B56" i="30"/>
  <c r="B55" i="30"/>
  <c r="C53" i="30"/>
  <c r="B43" i="30"/>
  <c r="B42" i="30"/>
  <c r="B40" i="30"/>
  <c r="B39" i="30"/>
  <c r="C37" i="30"/>
  <c r="B11" i="30"/>
  <c r="B10" i="30"/>
  <c r="B8" i="30"/>
  <c r="B7" i="30"/>
  <c r="C5" i="30"/>
  <c r="D16" i="30" s="1"/>
  <c r="U98" i="29"/>
  <c r="R98" i="29"/>
  <c r="D104" i="29"/>
  <c r="F104" i="29"/>
  <c r="U102" i="29"/>
  <c r="R102" i="29"/>
  <c r="N102" i="29"/>
  <c r="K102" i="29"/>
  <c r="H102" i="29"/>
  <c r="N98" i="29"/>
  <c r="K98" i="29"/>
  <c r="AG65" i="29"/>
  <c r="AG64" i="29"/>
  <c r="AB65" i="29"/>
  <c r="AB64" i="29"/>
  <c r="W65" i="29"/>
  <c r="W64" i="29"/>
  <c r="R65" i="29"/>
  <c r="R64" i="29"/>
  <c r="M65" i="29"/>
  <c r="M64" i="29"/>
  <c r="H65" i="29"/>
  <c r="H66" i="29" s="1"/>
  <c r="H64" i="29"/>
  <c r="C65" i="29"/>
  <c r="C64" i="29"/>
  <c r="AG49" i="29"/>
  <c r="AG48" i="29"/>
  <c r="AB49" i="29"/>
  <c r="AB48" i="29"/>
  <c r="W49" i="29"/>
  <c r="W48" i="29"/>
  <c r="R49" i="29"/>
  <c r="R48" i="29"/>
  <c r="M49" i="29"/>
  <c r="M48" i="29"/>
  <c r="H49" i="29"/>
  <c r="H50" i="29" s="1"/>
  <c r="H48" i="29"/>
  <c r="C49" i="29"/>
  <c r="C48" i="29"/>
  <c r="AG33" i="29"/>
  <c r="AG32" i="29"/>
  <c r="AB33" i="29"/>
  <c r="AB32" i="29"/>
  <c r="W33" i="29"/>
  <c r="W32" i="29"/>
  <c r="R33" i="29"/>
  <c r="R32" i="29"/>
  <c r="M33" i="29"/>
  <c r="M32" i="29"/>
  <c r="H33" i="29"/>
  <c r="H34" i="29" s="1"/>
  <c r="H32" i="29"/>
  <c r="C33" i="29"/>
  <c r="C32" i="29"/>
  <c r="AG17" i="29"/>
  <c r="AG16" i="29"/>
  <c r="AB17" i="29"/>
  <c r="AB16" i="29"/>
  <c r="W17" i="29"/>
  <c r="W16" i="29"/>
  <c r="R17" i="29"/>
  <c r="R16" i="29"/>
  <c r="M17" i="29"/>
  <c r="M16" i="29"/>
  <c r="H17" i="29"/>
  <c r="H18" i="29" s="1"/>
  <c r="H16" i="29"/>
  <c r="C16" i="29"/>
  <c r="C17" i="29"/>
  <c r="BU16" i="30" l="1"/>
  <c r="BT16" i="30" s="1"/>
  <c r="BF16" i="30"/>
  <c r="BE16" i="30" s="1"/>
  <c r="BA16" i="30"/>
  <c r="AZ16" i="30" s="1"/>
  <c r="BF17" i="30"/>
  <c r="BK16" i="30"/>
  <c r="BJ16" i="30" s="1"/>
  <c r="BA17" i="30"/>
  <c r="BP16" i="30"/>
  <c r="BO16" i="30" s="1"/>
  <c r="AV16" i="30"/>
  <c r="AU16" i="30" s="1"/>
  <c r="BU17" i="30"/>
  <c r="AV17" i="30"/>
  <c r="BK17" i="30"/>
  <c r="BP17" i="30"/>
  <c r="BU48" i="30"/>
  <c r="BT48" i="30" s="1"/>
  <c r="BF32" i="30"/>
  <c r="BE32" i="30" s="1"/>
  <c r="BU32" i="30"/>
  <c r="BT32" i="30" s="1"/>
  <c r="BU49" i="30"/>
  <c r="AV48" i="30"/>
  <c r="AU48" i="30" s="1"/>
  <c r="BK32" i="30"/>
  <c r="BJ32" i="30" s="1"/>
  <c r="AV32" i="30"/>
  <c r="AU32" i="30" s="1"/>
  <c r="AV49" i="30"/>
  <c r="BU64" i="30"/>
  <c r="BT64" i="30" s="1"/>
  <c r="BA33" i="30"/>
  <c r="BA48" i="30"/>
  <c r="AZ48" i="30" s="1"/>
  <c r="AV65" i="30"/>
  <c r="AV64" i="30"/>
  <c r="AU64" i="30" s="1"/>
  <c r="BF48" i="30"/>
  <c r="BE48" i="30" s="1"/>
  <c r="BA32" i="30"/>
  <c r="AZ32" i="30" s="1"/>
  <c r="BP32" i="30"/>
  <c r="BO32" i="30" s="1"/>
  <c r="BP64" i="30"/>
  <c r="BO64" i="30" s="1"/>
  <c r="BP48" i="30"/>
  <c r="BO48" i="30" s="1"/>
  <c r="BA64" i="30"/>
  <c r="AZ64" i="30" s="1"/>
  <c r="BF64" i="30"/>
  <c r="BE64" i="30" s="1"/>
  <c r="BP33" i="30"/>
  <c r="BP65" i="30"/>
  <c r="BA65" i="30"/>
  <c r="BU65" i="30"/>
  <c r="BK64" i="30"/>
  <c r="BJ64" i="30" s="1"/>
  <c r="BF49" i="30"/>
  <c r="BK48" i="30"/>
  <c r="BJ48" i="30" s="1"/>
  <c r="BK33" i="30"/>
  <c r="BU33" i="30"/>
  <c r="AV33" i="30"/>
  <c r="BP49" i="30"/>
  <c r="BF33" i="30"/>
  <c r="BF65" i="30"/>
  <c r="BA49" i="30"/>
  <c r="BK65" i="30"/>
  <c r="BK49" i="30"/>
  <c r="AZ76" i="30"/>
  <c r="AZ77" i="30" s="1"/>
  <c r="BJ76" i="30"/>
  <c r="BJ77" i="30" s="1"/>
  <c r="BT76" i="30"/>
  <c r="BT77" i="30" s="1"/>
  <c r="BO76" i="30"/>
  <c r="BO77" i="30" s="1"/>
  <c r="AU76" i="30"/>
  <c r="AU77" i="30" s="1"/>
  <c r="BE76" i="30"/>
  <c r="BE77" i="30" s="1"/>
  <c r="Q82" i="30"/>
  <c r="AA82" i="30"/>
  <c r="H37" i="23"/>
  <c r="F28" i="23"/>
  <c r="AP82" i="30"/>
  <c r="L25" i="30"/>
  <c r="Q25" i="30"/>
  <c r="Q28" i="30" s="1"/>
  <c r="AF82" i="30"/>
  <c r="V82" i="30"/>
  <c r="AK82" i="30"/>
  <c r="L82" i="30"/>
  <c r="B82" i="30"/>
  <c r="G82" i="30"/>
  <c r="AF25" i="30"/>
  <c r="AF28" i="30" s="1"/>
  <c r="AF29" i="30" s="1"/>
  <c r="B101" i="30"/>
  <c r="V9" i="30"/>
  <c r="V12" i="30" s="1"/>
  <c r="L28" i="30"/>
  <c r="L29" i="30" s="1"/>
  <c r="D5" i="30"/>
  <c r="G89" i="30"/>
  <c r="L89" i="30"/>
  <c r="Q89" i="30" s="1"/>
  <c r="V89" i="30" s="1"/>
  <c r="AA89" i="30" s="1"/>
  <c r="AF89" i="30" s="1"/>
  <c r="AK89" i="30" s="1"/>
  <c r="AP89" i="30" s="1"/>
  <c r="AU89" i="30" s="1"/>
  <c r="G87" i="30"/>
  <c r="B87" i="30"/>
  <c r="L87" i="30" s="1"/>
  <c r="Q87" i="30" s="1"/>
  <c r="V87" i="30" s="1"/>
  <c r="AA87" i="30" s="1"/>
  <c r="AF87" i="30" s="1"/>
  <c r="AK87" i="30" s="1"/>
  <c r="AP87" i="30" s="1"/>
  <c r="AU87" i="30" s="1"/>
  <c r="AZ87" i="30" s="1"/>
  <c r="BE87" i="30" s="1"/>
  <c r="BJ87" i="30" s="1"/>
  <c r="BO87" i="30" s="1"/>
  <c r="BT87" i="30" s="1"/>
  <c r="C16" i="30"/>
  <c r="AH123" i="22"/>
  <c r="AI123" i="22" s="1"/>
  <c r="AJ123" i="22" s="1"/>
  <c r="AK123" i="22" s="1"/>
  <c r="AL123" i="22" s="1"/>
  <c r="AM123" i="22" s="1"/>
  <c r="AN123" i="22" s="1"/>
  <c r="H123" i="22"/>
  <c r="I123" i="22" s="1"/>
  <c r="J123" i="22" s="1"/>
  <c r="K123" i="22" s="1"/>
  <c r="L123" i="22" s="1"/>
  <c r="M123" i="22" s="1"/>
  <c r="H121" i="22"/>
  <c r="I121" i="22" s="1"/>
  <c r="J121" i="22" s="1"/>
  <c r="K121" i="22" s="1"/>
  <c r="L121" i="22" s="1"/>
  <c r="M121" i="22" s="1"/>
  <c r="U104" i="29"/>
  <c r="R104" i="29"/>
  <c r="N104" i="29"/>
  <c r="K104" i="29"/>
  <c r="H104" i="29"/>
  <c r="AP73" i="30"/>
  <c r="AP57" i="30"/>
  <c r="AP60" i="30" s="1"/>
  <c r="AP61" i="30" s="1"/>
  <c r="AP41" i="30"/>
  <c r="AP44" i="30" s="1"/>
  <c r="AP45" i="30" s="1"/>
  <c r="AP25" i="30"/>
  <c r="AP28" i="30" s="1"/>
  <c r="AP29" i="30" s="1"/>
  <c r="AP9" i="30"/>
  <c r="AR16" i="30"/>
  <c r="AQ16" i="30" s="1"/>
  <c r="AR5" i="30"/>
  <c r="AK73" i="30"/>
  <c r="AK57" i="30"/>
  <c r="AK60" i="30" s="1"/>
  <c r="AK61" i="30" s="1"/>
  <c r="AK41" i="30"/>
  <c r="AK44" i="30" s="1"/>
  <c r="AK45" i="30" s="1"/>
  <c r="AK25" i="30"/>
  <c r="AK28" i="30" s="1"/>
  <c r="AK29" i="30" s="1"/>
  <c r="AK9" i="30"/>
  <c r="AF73" i="30"/>
  <c r="AF57" i="30"/>
  <c r="AF60" i="30" s="1"/>
  <c r="AF61" i="30" s="1"/>
  <c r="AF9" i="30"/>
  <c r="AA73" i="30"/>
  <c r="AA57" i="30"/>
  <c r="AA60" i="30" s="1"/>
  <c r="AA61" i="30" s="1"/>
  <c r="AA25" i="30"/>
  <c r="AA28" i="30" s="1"/>
  <c r="AA29" i="30" s="1"/>
  <c r="AA9" i="30"/>
  <c r="V73" i="30"/>
  <c r="V57" i="30"/>
  <c r="V60" i="30" s="1"/>
  <c r="V61" i="30" s="1"/>
  <c r="V25" i="30"/>
  <c r="V28" i="30" s="1"/>
  <c r="V29" i="30" s="1"/>
  <c r="Q73" i="30"/>
  <c r="Q57" i="30"/>
  <c r="Q60" i="30" s="1"/>
  <c r="Q61" i="30" s="1"/>
  <c r="Q29" i="30"/>
  <c r="Q9" i="30"/>
  <c r="L57" i="30"/>
  <c r="L60" i="30" s="1"/>
  <c r="L61" i="30" s="1"/>
  <c r="B25" i="30"/>
  <c r="B28" i="30" s="1"/>
  <c r="B29" i="30" s="1"/>
  <c r="L9" i="30"/>
  <c r="AR76" i="30"/>
  <c r="AR77" i="30" s="1"/>
  <c r="AQ76" i="30"/>
  <c r="AR64" i="30"/>
  <c r="AQ64" i="30" s="1"/>
  <c r="AR53" i="30"/>
  <c r="AR48" i="30"/>
  <c r="AQ48" i="30" s="1"/>
  <c r="AR37" i="30"/>
  <c r="AR32" i="30"/>
  <c r="AQ32" i="30" s="1"/>
  <c r="AR21" i="30"/>
  <c r="AL76" i="30"/>
  <c r="AM76" i="30"/>
  <c r="AM77" i="30" s="1"/>
  <c r="AM64" i="30"/>
  <c r="AL64" i="30" s="1"/>
  <c r="AM53" i="30"/>
  <c r="AM48" i="30"/>
  <c r="AL48" i="30" s="1"/>
  <c r="AM37" i="30"/>
  <c r="AM32" i="30"/>
  <c r="AL32" i="30" s="1"/>
  <c r="AM21" i="30"/>
  <c r="AM16" i="30"/>
  <c r="AL16" i="30" s="1"/>
  <c r="AM5" i="30"/>
  <c r="G73" i="30"/>
  <c r="G57" i="30"/>
  <c r="G60" i="30" s="1"/>
  <c r="G61" i="30" s="1"/>
  <c r="G41" i="30"/>
  <c r="G44" i="30" s="1"/>
  <c r="G45" i="30" s="1"/>
  <c r="G25" i="30"/>
  <c r="G28" i="30" s="1"/>
  <c r="G29" i="30" s="1"/>
  <c r="G9" i="30"/>
  <c r="B73" i="30"/>
  <c r="B57" i="30"/>
  <c r="B60" i="30" s="1"/>
  <c r="B61" i="30" s="1"/>
  <c r="B41" i="30"/>
  <c r="B44" i="30" s="1"/>
  <c r="B45" i="30" s="1"/>
  <c r="B9" i="30"/>
  <c r="AF41" i="30"/>
  <c r="AF44" i="30" s="1"/>
  <c r="AF45" i="30" s="1"/>
  <c r="L73" i="30"/>
  <c r="AA41" i="30"/>
  <c r="AA44" i="30" s="1"/>
  <c r="AA45" i="30" s="1"/>
  <c r="V41" i="30"/>
  <c r="V44" i="30" s="1"/>
  <c r="V45" i="30" s="1"/>
  <c r="L41" i="30"/>
  <c r="L44" i="30" s="1"/>
  <c r="L45" i="30" s="1"/>
  <c r="Q41" i="30"/>
  <c r="Q44" i="30" s="1"/>
  <c r="Q45" i="30" s="1"/>
  <c r="AH5" i="30"/>
  <c r="AH16" i="30"/>
  <c r="AG16" i="30" s="1"/>
  <c r="AC5" i="30"/>
  <c r="AC16" i="30"/>
  <c r="AB16" i="30" s="1"/>
  <c r="X5" i="30"/>
  <c r="X16" i="30"/>
  <c r="W16" i="30" s="1"/>
  <c r="S5" i="30"/>
  <c r="S16" i="30"/>
  <c r="R16" i="30" s="1"/>
  <c r="AW100" i="30"/>
  <c r="C100" i="30"/>
  <c r="D34" i="4" s="1"/>
  <c r="D100" i="30"/>
  <c r="E34" i="4" s="1"/>
  <c r="F100" i="30"/>
  <c r="G100" i="30"/>
  <c r="AF100" i="30"/>
  <c r="AX100" i="30"/>
  <c r="BA100" i="30"/>
  <c r="BG100" i="30"/>
  <c r="BH34" i="4" s="1"/>
  <c r="BK100" i="30"/>
  <c r="AS100" i="30"/>
  <c r="BF100" i="30"/>
  <c r="AZ100" i="30"/>
  <c r="AU100" i="30"/>
  <c r="AR100" i="30"/>
  <c r="AN100" i="30"/>
  <c r="AK100" i="30"/>
  <c r="AH100" i="30"/>
  <c r="AE100" i="30"/>
  <c r="BH100" i="30"/>
  <c r="BE100" i="30"/>
  <c r="AG100" i="30"/>
  <c r="AJ100" i="30"/>
  <c r="AM100" i="30"/>
  <c r="AT100" i="30"/>
  <c r="BM100" i="30"/>
  <c r="AA100" i="30"/>
  <c r="X100" i="30"/>
  <c r="BJ100" i="30"/>
  <c r="BD100" i="30"/>
  <c r="E100" i="30"/>
  <c r="AG76" i="30"/>
  <c r="AH76" i="30"/>
  <c r="AH77" i="30" s="1"/>
  <c r="AB76" i="30"/>
  <c r="AC76" i="30"/>
  <c r="AC77" i="30" s="1"/>
  <c r="W76" i="30"/>
  <c r="X76" i="30"/>
  <c r="X77" i="30" s="1"/>
  <c r="R76" i="30"/>
  <c r="S76" i="30"/>
  <c r="S77" i="30" s="1"/>
  <c r="N76" i="30"/>
  <c r="N77" i="30" s="1"/>
  <c r="M76" i="30"/>
  <c r="H76" i="30"/>
  <c r="I76" i="30"/>
  <c r="I77" i="30" s="1"/>
  <c r="C76" i="30"/>
  <c r="D76" i="30"/>
  <c r="D77" i="30" s="1"/>
  <c r="AH64" i="30"/>
  <c r="AG64" i="30" s="1"/>
  <c r="AH53" i="30"/>
  <c r="AC64" i="30"/>
  <c r="AB64" i="30" s="1"/>
  <c r="AC53" i="30"/>
  <c r="X53" i="30"/>
  <c r="X64" i="30"/>
  <c r="W64" i="30" s="1"/>
  <c r="S53" i="30"/>
  <c r="S64" i="30"/>
  <c r="R64" i="30" s="1"/>
  <c r="N64" i="30"/>
  <c r="M64" i="30" s="1"/>
  <c r="N53" i="30"/>
  <c r="I53" i="30"/>
  <c r="I64" i="30"/>
  <c r="H64" i="30" s="1"/>
  <c r="D53" i="30"/>
  <c r="D64" i="30"/>
  <c r="C64" i="30" s="1"/>
  <c r="AH37" i="30"/>
  <c r="AH48" i="30"/>
  <c r="AG48" i="30" s="1"/>
  <c r="AC37" i="30"/>
  <c r="AC48" i="30"/>
  <c r="AB48" i="30" s="1"/>
  <c r="X48" i="30"/>
  <c r="W48" i="30" s="1"/>
  <c r="X37" i="30"/>
  <c r="S37" i="30"/>
  <c r="S48" i="30"/>
  <c r="R48" i="30" s="1"/>
  <c r="N48" i="30"/>
  <c r="M48" i="30" s="1"/>
  <c r="N37" i="30"/>
  <c r="I48" i="30"/>
  <c r="H48" i="30" s="1"/>
  <c r="I37" i="30"/>
  <c r="D48" i="30"/>
  <c r="C48" i="30" s="1"/>
  <c r="D37" i="30"/>
  <c r="AH32" i="30"/>
  <c r="AG32" i="30" s="1"/>
  <c r="AH21" i="30"/>
  <c r="AC32" i="30"/>
  <c r="AB32" i="30" s="1"/>
  <c r="AC21" i="30"/>
  <c r="X21" i="30"/>
  <c r="X32" i="30"/>
  <c r="W32" i="30" s="1"/>
  <c r="S21" i="30"/>
  <c r="S32" i="30"/>
  <c r="R32" i="30" s="1"/>
  <c r="N21" i="30"/>
  <c r="N32" i="30"/>
  <c r="M32" i="30" s="1"/>
  <c r="I21" i="30"/>
  <c r="I32" i="30"/>
  <c r="H32" i="30" s="1"/>
  <c r="D32" i="30"/>
  <c r="C32" i="30" s="1"/>
  <c r="D21" i="30"/>
  <c r="N5" i="30"/>
  <c r="N16" i="30"/>
  <c r="M16" i="30" s="1"/>
  <c r="I5" i="30"/>
  <c r="I16" i="30"/>
  <c r="H16" i="30" s="1"/>
  <c r="D17" i="30"/>
  <c r="C17" i="30" s="1"/>
  <c r="AF79" i="29"/>
  <c r="AA79" i="29"/>
  <c r="V79" i="29"/>
  <c r="Q79" i="29"/>
  <c r="L79" i="29"/>
  <c r="G79" i="29"/>
  <c r="B79" i="29"/>
  <c r="AH5" i="29"/>
  <c r="AC5" i="29"/>
  <c r="X5" i="29"/>
  <c r="S5" i="29"/>
  <c r="AH53" i="29"/>
  <c r="AC53" i="29"/>
  <c r="X53" i="29"/>
  <c r="S53" i="29"/>
  <c r="N53" i="29"/>
  <c r="I53" i="29"/>
  <c r="D53" i="29"/>
  <c r="Z122" i="22"/>
  <c r="BJ65" i="30" l="1"/>
  <c r="BJ66" i="30" s="1"/>
  <c r="BK66" i="30"/>
  <c r="BJ62" i="30" s="1"/>
  <c r="AZ17" i="30"/>
  <c r="AZ18" i="30" s="1"/>
  <c r="BA18" i="30"/>
  <c r="BK34" i="30"/>
  <c r="BJ30" i="30" s="1"/>
  <c r="BJ33" i="30"/>
  <c r="BJ34" i="30" s="1"/>
  <c r="AV50" i="30"/>
  <c r="AU46" i="30" s="1"/>
  <c r="AU49" i="30"/>
  <c r="AU50" i="30" s="1"/>
  <c r="AV18" i="30"/>
  <c r="AU17" i="30"/>
  <c r="AU18" i="30" s="1"/>
  <c r="BT17" i="30"/>
  <c r="BT18" i="30" s="1"/>
  <c r="BU18" i="30"/>
  <c r="BK50" i="30"/>
  <c r="BJ46" i="30" s="1"/>
  <c r="BJ49" i="30"/>
  <c r="BJ50" i="30" s="1"/>
  <c r="BA50" i="30"/>
  <c r="AZ46" i="30" s="1"/>
  <c r="AZ49" i="30"/>
  <c r="AZ50" i="30" s="1"/>
  <c r="BU66" i="30"/>
  <c r="BT62" i="30" s="1"/>
  <c r="BT65" i="30"/>
  <c r="BT66" i="30" s="1"/>
  <c r="BU50" i="30"/>
  <c r="BT46" i="30" s="1"/>
  <c r="BT49" i="30"/>
  <c r="BT50" i="30" s="1"/>
  <c r="BA66" i="30"/>
  <c r="AZ62" i="30" s="1"/>
  <c r="AZ65" i="30"/>
  <c r="AZ66" i="30" s="1"/>
  <c r="BO65" i="30"/>
  <c r="BO66" i="30" s="1"/>
  <c r="BP66" i="30"/>
  <c r="BO62" i="30" s="1"/>
  <c r="BO49" i="30"/>
  <c r="BO50" i="30" s="1"/>
  <c r="BP50" i="30"/>
  <c r="BO46" i="30" s="1"/>
  <c r="AV34" i="30"/>
  <c r="AU30" i="30" s="1"/>
  <c r="AU33" i="30"/>
  <c r="AU34" i="30" s="1"/>
  <c r="BA34" i="30"/>
  <c r="AZ30" i="30" s="1"/>
  <c r="AZ33" i="30"/>
  <c r="AZ34" i="30" s="1"/>
  <c r="BP18" i="30"/>
  <c r="BO17" i="30"/>
  <c r="BO18" i="30" s="1"/>
  <c r="BF50" i="30"/>
  <c r="BE46" i="30" s="1"/>
  <c r="BE49" i="30"/>
  <c r="BE50" i="30" s="1"/>
  <c r="BE65" i="30"/>
  <c r="BE66" i="30" s="1"/>
  <c r="BF66" i="30"/>
  <c r="BE62" i="30" s="1"/>
  <c r="BF34" i="30"/>
  <c r="BE30" i="30" s="1"/>
  <c r="BE33" i="30"/>
  <c r="BE34" i="30" s="1"/>
  <c r="AV66" i="30"/>
  <c r="AU62" i="30" s="1"/>
  <c r="AU65" i="30"/>
  <c r="AU66" i="30" s="1"/>
  <c r="BF18" i="30"/>
  <c r="BE17" i="30"/>
  <c r="BE18" i="30" s="1"/>
  <c r="BP34" i="30"/>
  <c r="BO30" i="30" s="1"/>
  <c r="BO33" i="30"/>
  <c r="BO34" i="30" s="1"/>
  <c r="BT33" i="30"/>
  <c r="BT34" i="30" s="1"/>
  <c r="BU34" i="30"/>
  <c r="BT30" i="30" s="1"/>
  <c r="BK18" i="30"/>
  <c r="BJ17" i="30"/>
  <c r="BJ18" i="30" s="1"/>
  <c r="AZ89" i="30"/>
  <c r="B74" i="30"/>
  <c r="H28" i="23"/>
  <c r="L74" i="30"/>
  <c r="G12" i="30"/>
  <c r="G81" i="30"/>
  <c r="AP12" i="30"/>
  <c r="AP81" i="30"/>
  <c r="V81" i="30"/>
  <c r="L12" i="30"/>
  <c r="L81" i="30"/>
  <c r="V13" i="30"/>
  <c r="V79" i="30" s="1"/>
  <c r="V80" i="30"/>
  <c r="AK12" i="30"/>
  <c r="AK81" i="30"/>
  <c r="Q12" i="30"/>
  <c r="Q81" i="30"/>
  <c r="AA12" i="30"/>
  <c r="AA81" i="30"/>
  <c r="V74" i="30"/>
  <c r="B12" i="30"/>
  <c r="B81" i="30"/>
  <c r="AF12" i="30"/>
  <c r="AF81" i="30"/>
  <c r="Q32" i="30"/>
  <c r="Q74" i="30"/>
  <c r="B16" i="30"/>
  <c r="AK74" i="30"/>
  <c r="AX34" i="4"/>
  <c r="G34" i="4"/>
  <c r="H34" i="4"/>
  <c r="T34" i="4"/>
  <c r="AG34" i="4"/>
  <c r="AY34" i="4"/>
  <c r="BB34" i="4"/>
  <c r="BL34" i="4"/>
  <c r="U34" i="4"/>
  <c r="X34" i="4"/>
  <c r="AA34" i="4"/>
  <c r="AT34" i="4"/>
  <c r="BG34" i="4"/>
  <c r="BA34" i="4"/>
  <c r="AV34" i="4"/>
  <c r="AS34" i="4"/>
  <c r="AO34" i="4"/>
  <c r="AL34" i="4"/>
  <c r="AI34" i="4"/>
  <c r="AF34" i="4"/>
  <c r="BI34" i="4"/>
  <c r="BF34" i="4"/>
  <c r="AH34" i="4"/>
  <c r="AK34" i="4"/>
  <c r="AN34" i="4"/>
  <c r="AU34" i="4"/>
  <c r="BN34" i="4"/>
  <c r="AB34" i="4"/>
  <c r="Y34" i="4"/>
  <c r="BK34" i="4"/>
  <c r="BE34" i="4"/>
  <c r="F34" i="4"/>
  <c r="AO123" i="22"/>
  <c r="AP123" i="22" s="1"/>
  <c r="AQ123" i="22" s="1"/>
  <c r="AR123" i="22" s="1"/>
  <c r="AT123" i="22" s="1"/>
  <c r="N123" i="22"/>
  <c r="O123" i="22" s="1"/>
  <c r="P123" i="22" s="1"/>
  <c r="Q123" i="22" s="1"/>
  <c r="R123" i="22" s="1"/>
  <c r="N121" i="22"/>
  <c r="O121" i="22" s="1"/>
  <c r="P121" i="22" s="1"/>
  <c r="Q121" i="22" s="1"/>
  <c r="R121" i="22" s="1"/>
  <c r="T121" i="22" s="1"/>
  <c r="U121" i="22"/>
  <c r="AP74" i="30"/>
  <c r="AP16" i="30"/>
  <c r="AR17" i="30"/>
  <c r="AQ17" i="30" s="1"/>
  <c r="AF74" i="30"/>
  <c r="AA74" i="30"/>
  <c r="AQ77" i="30"/>
  <c r="AP76" i="30"/>
  <c r="AP77" i="30" s="1"/>
  <c r="AR65" i="30"/>
  <c r="AQ65" i="30" s="1"/>
  <c r="AP64" i="30"/>
  <c r="AR49" i="30"/>
  <c r="AQ49" i="30" s="1"/>
  <c r="AP48" i="30"/>
  <c r="AR33" i="30"/>
  <c r="AQ33" i="30" s="1"/>
  <c r="AP32" i="30"/>
  <c r="AK76" i="30"/>
  <c r="AK77" i="30" s="1"/>
  <c r="AL77" i="30"/>
  <c r="AK64" i="30"/>
  <c r="AM65" i="30"/>
  <c r="AL65" i="30" s="1"/>
  <c r="AM49" i="30"/>
  <c r="AL49" i="30" s="1"/>
  <c r="AK48" i="30"/>
  <c r="AM33" i="30"/>
  <c r="AL33" i="30" s="1"/>
  <c r="AK32" i="30"/>
  <c r="AM17" i="30"/>
  <c r="AL17" i="30" s="1"/>
  <c r="AK16" i="30"/>
  <c r="G74" i="30"/>
  <c r="V16" i="30"/>
  <c r="X17" i="30"/>
  <c r="W17" i="30" s="1"/>
  <c r="AF16" i="30"/>
  <c r="AH17" i="30"/>
  <c r="AG17" i="30" s="1"/>
  <c r="AA16" i="30"/>
  <c r="AC17" i="30"/>
  <c r="AB17" i="30" s="1"/>
  <c r="Q16" i="30"/>
  <c r="S17" i="30"/>
  <c r="R17" i="30" s="1"/>
  <c r="Q17" i="30" s="1"/>
  <c r="AG77" i="30"/>
  <c r="AF76" i="30"/>
  <c r="AF77" i="30" s="1"/>
  <c r="AB77" i="30"/>
  <c r="AA76" i="30"/>
  <c r="AA77" i="30" s="1"/>
  <c r="W77" i="30"/>
  <c r="V76" i="30"/>
  <c r="V77" i="30" s="1"/>
  <c r="R77" i="30"/>
  <c r="Q76" i="30"/>
  <c r="Q77" i="30" s="1"/>
  <c r="M77" i="30"/>
  <c r="L76" i="30"/>
  <c r="L77" i="30" s="1"/>
  <c r="H77" i="30"/>
  <c r="G76" i="30"/>
  <c r="G77" i="30" s="1"/>
  <c r="C77" i="30"/>
  <c r="B76" i="30"/>
  <c r="B77" i="30" s="1"/>
  <c r="AH65" i="30"/>
  <c r="AG65" i="30" s="1"/>
  <c r="AF64" i="30"/>
  <c r="AC65" i="30"/>
  <c r="AB65" i="30" s="1"/>
  <c r="AA64" i="30"/>
  <c r="X65" i="30"/>
  <c r="W65" i="30" s="1"/>
  <c r="V64" i="30"/>
  <c r="S65" i="30"/>
  <c r="R65" i="30" s="1"/>
  <c r="Q64" i="30"/>
  <c r="N65" i="30"/>
  <c r="M65" i="30" s="1"/>
  <c r="L64" i="30"/>
  <c r="I65" i="30"/>
  <c r="H65" i="30" s="1"/>
  <c r="G64" i="30"/>
  <c r="D65" i="30"/>
  <c r="C65" i="30" s="1"/>
  <c r="B64" i="30"/>
  <c r="AH49" i="30"/>
  <c r="AG49" i="30" s="1"/>
  <c r="AF48" i="30"/>
  <c r="AC49" i="30"/>
  <c r="AB49" i="30" s="1"/>
  <c r="AA48" i="30"/>
  <c r="X49" i="30"/>
  <c r="W49" i="30" s="1"/>
  <c r="V48" i="30"/>
  <c r="S49" i="30"/>
  <c r="R49" i="30" s="1"/>
  <c r="Q48" i="30"/>
  <c r="N49" i="30"/>
  <c r="M49" i="30" s="1"/>
  <c r="L48" i="30"/>
  <c r="I49" i="30"/>
  <c r="H49" i="30" s="1"/>
  <c r="G48" i="30"/>
  <c r="D49" i="30"/>
  <c r="C49" i="30" s="1"/>
  <c r="B48" i="30"/>
  <c r="AH33" i="30"/>
  <c r="AG33" i="30" s="1"/>
  <c r="AF32" i="30"/>
  <c r="AA32" i="30"/>
  <c r="AC33" i="30"/>
  <c r="AB33" i="30" s="1"/>
  <c r="X33" i="30"/>
  <c r="W33" i="30" s="1"/>
  <c r="V32" i="30"/>
  <c r="S33" i="30"/>
  <c r="R33" i="30" s="1"/>
  <c r="L32" i="30"/>
  <c r="N33" i="30"/>
  <c r="M33" i="30" s="1"/>
  <c r="I33" i="30"/>
  <c r="H33" i="30" s="1"/>
  <c r="G32" i="30"/>
  <c r="D33" i="30"/>
  <c r="C33" i="30" s="1"/>
  <c r="B32" i="30"/>
  <c r="N17" i="30"/>
  <c r="M17" i="30" s="1"/>
  <c r="L16" i="30"/>
  <c r="I17" i="30"/>
  <c r="H17" i="30" s="1"/>
  <c r="G16" i="30"/>
  <c r="D18" i="30"/>
  <c r="M83" i="29"/>
  <c r="H83" i="29"/>
  <c r="AH37" i="29"/>
  <c r="AC37" i="29"/>
  <c r="X37" i="29"/>
  <c r="S37" i="29"/>
  <c r="AF25" i="29"/>
  <c r="AF28" i="29" s="1"/>
  <c r="AF29" i="29" s="1"/>
  <c r="AH21" i="29"/>
  <c r="AA29" i="29"/>
  <c r="AA28" i="29"/>
  <c r="AA25" i="29"/>
  <c r="AC21" i="29"/>
  <c r="V25" i="29"/>
  <c r="V28" i="29" s="1"/>
  <c r="V29" i="29" s="1"/>
  <c r="X21" i="29"/>
  <c r="Q25" i="29"/>
  <c r="Q28" i="29" s="1"/>
  <c r="Q29" i="29" s="1"/>
  <c r="S21" i="29"/>
  <c r="N37" i="29"/>
  <c r="N21" i="29"/>
  <c r="N5" i="29"/>
  <c r="D37" i="29"/>
  <c r="I37" i="29"/>
  <c r="I21" i="29"/>
  <c r="I5" i="29"/>
  <c r="D21" i="29"/>
  <c r="AH32" i="29"/>
  <c r="AC32" i="29"/>
  <c r="AC33" i="29" s="1"/>
  <c r="X32" i="29"/>
  <c r="X33" i="29" s="1"/>
  <c r="S32" i="29"/>
  <c r="S33" i="29" s="1"/>
  <c r="N32" i="29"/>
  <c r="I32" i="29"/>
  <c r="I33" i="29" s="1"/>
  <c r="D32" i="29"/>
  <c r="D33" i="29" s="1"/>
  <c r="L25" i="29"/>
  <c r="L28" i="29" s="1"/>
  <c r="L29" i="29" s="1"/>
  <c r="G25" i="29"/>
  <c r="G28" i="29" s="1"/>
  <c r="G29" i="29" s="1"/>
  <c r="B25" i="29"/>
  <c r="B28" i="29" s="1"/>
  <c r="B29" i="29" s="1"/>
  <c r="BJ14" i="30" l="1"/>
  <c r="BK86" i="30"/>
  <c r="BK87" i="30" s="1"/>
  <c r="BK88" i="30" s="1"/>
  <c r="BI98" i="30" s="1"/>
  <c r="AZ14" i="30"/>
  <c r="BA86" i="30"/>
  <c r="BA87" i="30" s="1"/>
  <c r="BA88" i="30" s="1"/>
  <c r="AY98" i="30" s="1"/>
  <c r="AU14" i="30"/>
  <c r="AV86" i="30"/>
  <c r="BT14" i="30"/>
  <c r="BU86" i="30"/>
  <c r="BU87" i="30" s="1"/>
  <c r="BU88" i="30" s="1"/>
  <c r="BN98" i="30" s="1"/>
  <c r="BE14" i="30"/>
  <c r="BF86" i="30"/>
  <c r="BF87" i="30" s="1"/>
  <c r="BF88" i="30" s="1"/>
  <c r="BC98" i="30" s="1"/>
  <c r="BO14" i="30"/>
  <c r="BP86" i="30"/>
  <c r="BP87" i="30" s="1"/>
  <c r="BP88" i="30" s="1"/>
  <c r="BL98" i="30" s="1"/>
  <c r="BE89" i="30"/>
  <c r="BA89" i="30"/>
  <c r="S121" i="22"/>
  <c r="AK13" i="30"/>
  <c r="AK79" i="30" s="1"/>
  <c r="AK80" i="30"/>
  <c r="AF13" i="30"/>
  <c r="AF79" i="30" s="1"/>
  <c r="AF80" i="30"/>
  <c r="B13" i="30"/>
  <c r="B79" i="30" s="1"/>
  <c r="B80" i="30"/>
  <c r="L13" i="30"/>
  <c r="L79" i="30" s="1"/>
  <c r="L80" i="30"/>
  <c r="AA13" i="30"/>
  <c r="AA79" i="30" s="1"/>
  <c r="AA80" i="30"/>
  <c r="AP13" i="30"/>
  <c r="AP79" i="30" s="1"/>
  <c r="AP80" i="30"/>
  <c r="Q13" i="30"/>
  <c r="Q79" i="30" s="1"/>
  <c r="Q80" i="30"/>
  <c r="G13" i="30"/>
  <c r="G79" i="30" s="1"/>
  <c r="G80" i="30"/>
  <c r="AS123" i="22"/>
  <c r="T123" i="22"/>
  <c r="U123" i="22" s="1"/>
  <c r="S123" i="22"/>
  <c r="AU123" i="22"/>
  <c r="V121" i="22"/>
  <c r="AR18" i="30"/>
  <c r="AH18" i="30"/>
  <c r="AC18" i="30"/>
  <c r="S18" i="30"/>
  <c r="AR66" i="30"/>
  <c r="AR50" i="30"/>
  <c r="AR34" i="30"/>
  <c r="AM66" i="30"/>
  <c r="AM50" i="30"/>
  <c r="AM34" i="30"/>
  <c r="AM18" i="30"/>
  <c r="X18" i="30"/>
  <c r="AH66" i="30"/>
  <c r="AC66" i="30"/>
  <c r="X66" i="30"/>
  <c r="S66" i="30"/>
  <c r="N66" i="30"/>
  <c r="I66" i="30"/>
  <c r="D66" i="30"/>
  <c r="AH50" i="30"/>
  <c r="AC50" i="30"/>
  <c r="X50" i="30"/>
  <c r="S50" i="30"/>
  <c r="N50" i="30"/>
  <c r="I50" i="30"/>
  <c r="D50" i="30"/>
  <c r="AH34" i="30"/>
  <c r="AC34" i="30"/>
  <c r="X34" i="30"/>
  <c r="S34" i="30"/>
  <c r="N34" i="30"/>
  <c r="I34" i="30"/>
  <c r="D34" i="30"/>
  <c r="N18" i="30"/>
  <c r="I18" i="30"/>
  <c r="B17" i="30"/>
  <c r="B18" i="30" s="1"/>
  <c r="C18" i="30"/>
  <c r="I34" i="29"/>
  <c r="S34" i="29"/>
  <c r="X34" i="29"/>
  <c r="D34" i="29"/>
  <c r="AC34" i="29"/>
  <c r="N33" i="29"/>
  <c r="AH33" i="29"/>
  <c r="AH64" i="29"/>
  <c r="AH65" i="29" s="1"/>
  <c r="AC64" i="29"/>
  <c r="AH48" i="29"/>
  <c r="AH49" i="29" s="1"/>
  <c r="AC48" i="29"/>
  <c r="AC49" i="29" s="1"/>
  <c r="AH16" i="29"/>
  <c r="AH17" i="29" s="1"/>
  <c r="AC16" i="29"/>
  <c r="AC17" i="29" s="1"/>
  <c r="X64" i="29"/>
  <c r="X65" i="29" s="1"/>
  <c r="X48" i="29"/>
  <c r="X49" i="29" s="1"/>
  <c r="X16" i="29"/>
  <c r="S64" i="29"/>
  <c r="S65" i="29" s="1"/>
  <c r="S48" i="29"/>
  <c r="S49" i="29" s="1"/>
  <c r="S16" i="29"/>
  <c r="N64" i="29"/>
  <c r="N48" i="29"/>
  <c r="N16" i="29"/>
  <c r="N17" i="29" s="1"/>
  <c r="I64" i="29"/>
  <c r="I65" i="29" s="1"/>
  <c r="I48" i="29"/>
  <c r="I49" i="29" s="1"/>
  <c r="I16" i="29"/>
  <c r="I17" i="29" s="1"/>
  <c r="D64" i="29"/>
  <c r="D65" i="29" s="1"/>
  <c r="D48" i="29"/>
  <c r="D16" i="29"/>
  <c r="T113" i="22"/>
  <c r="U113" i="22" s="1"/>
  <c r="V113" i="22" s="1"/>
  <c r="W113" i="22" s="1"/>
  <c r="X113" i="22" s="1"/>
  <c r="Y113" i="22" s="1"/>
  <c r="Z113" i="22" s="1"/>
  <c r="AA113" i="22" s="1"/>
  <c r="AB113" i="22" s="1"/>
  <c r="AC113" i="22" s="1"/>
  <c r="AD113" i="22" s="1"/>
  <c r="AE113" i="22" s="1"/>
  <c r="G122" i="22"/>
  <c r="H122" i="22" s="1"/>
  <c r="I122" i="22" s="1"/>
  <c r="J122" i="22" s="1"/>
  <c r="K122" i="22" s="1"/>
  <c r="L122" i="22" s="1"/>
  <c r="M122" i="22" s="1"/>
  <c r="N122" i="22" s="1"/>
  <c r="O122" i="22" s="1"/>
  <c r="P122" i="22" s="1"/>
  <c r="Q122" i="22" s="1"/>
  <c r="R122" i="22" s="1"/>
  <c r="T122" i="22" s="1"/>
  <c r="G120" i="22"/>
  <c r="H120" i="22" s="1"/>
  <c r="I120" i="22" s="1"/>
  <c r="J120" i="22" s="1"/>
  <c r="K120" i="22" s="1"/>
  <c r="L120" i="22" s="1"/>
  <c r="M120" i="22" s="1"/>
  <c r="N120" i="22" s="1"/>
  <c r="O120" i="22" s="1"/>
  <c r="P120" i="22" s="1"/>
  <c r="Q120" i="22" s="1"/>
  <c r="R120" i="22" s="1"/>
  <c r="T120" i="22" s="1"/>
  <c r="W118" i="22"/>
  <c r="X118" i="22" s="1"/>
  <c r="Y118" i="22" s="1"/>
  <c r="Z118" i="22" s="1"/>
  <c r="AA118" i="22" s="1"/>
  <c r="AB118" i="22" s="1"/>
  <c r="AC118" i="22" s="1"/>
  <c r="AD118" i="22" s="1"/>
  <c r="AE118" i="22" s="1"/>
  <c r="AG118" i="22" s="1"/>
  <c r="G118" i="22"/>
  <c r="H118" i="22" s="1"/>
  <c r="I118" i="22" s="1"/>
  <c r="J118" i="22" s="1"/>
  <c r="K118" i="22" s="1"/>
  <c r="L118" i="22" s="1"/>
  <c r="M118" i="22" s="1"/>
  <c r="N118" i="22" s="1"/>
  <c r="O118" i="22" s="1"/>
  <c r="P118" i="22" s="1"/>
  <c r="Q118" i="22" s="1"/>
  <c r="R118" i="22" s="1"/>
  <c r="T116" i="22"/>
  <c r="U116" i="22" s="1"/>
  <c r="V116" i="22" s="1"/>
  <c r="W116" i="22" s="1"/>
  <c r="X116" i="22" s="1"/>
  <c r="Y116" i="22" s="1"/>
  <c r="Z116" i="22" s="1"/>
  <c r="AA116" i="22" s="1"/>
  <c r="AB116" i="22" s="1"/>
  <c r="AC116" i="22" s="1"/>
  <c r="AD116" i="22" s="1"/>
  <c r="AE116" i="22" s="1"/>
  <c r="AG116" i="22" s="1"/>
  <c r="G116" i="22"/>
  <c r="H116" i="22" s="1"/>
  <c r="I116" i="22" s="1"/>
  <c r="J116" i="22" s="1"/>
  <c r="K116" i="22" s="1"/>
  <c r="L116" i="22" s="1"/>
  <c r="M116" i="22" s="1"/>
  <c r="N116" i="22" s="1"/>
  <c r="O116" i="22" s="1"/>
  <c r="P116" i="22" s="1"/>
  <c r="Q116" i="22" s="1"/>
  <c r="R116" i="22" s="1"/>
  <c r="T114" i="22"/>
  <c r="U114" i="22" s="1"/>
  <c r="V114" i="22" s="1"/>
  <c r="W114" i="22" s="1"/>
  <c r="X114" i="22" s="1"/>
  <c r="Y114" i="22" s="1"/>
  <c r="Z114" i="22" s="1"/>
  <c r="AA114" i="22" s="1"/>
  <c r="AC114" i="22" s="1"/>
  <c r="AD114" i="22" s="1"/>
  <c r="T111" i="22"/>
  <c r="T110" i="22"/>
  <c r="B97" i="29"/>
  <c r="BE97" i="29" s="1"/>
  <c r="B87" i="29"/>
  <c r="L87" i="29" s="1"/>
  <c r="Q87" i="29" s="1"/>
  <c r="V87" i="29" s="1"/>
  <c r="AA87" i="29" s="1"/>
  <c r="AF87" i="29" s="1"/>
  <c r="B85" i="29"/>
  <c r="L85" i="29" s="1"/>
  <c r="Q85" i="29" s="1"/>
  <c r="V85" i="29" s="1"/>
  <c r="AA85" i="29" s="1"/>
  <c r="AF85" i="29" s="1"/>
  <c r="B84" i="29"/>
  <c r="L84" i="29" s="1"/>
  <c r="BO96" i="29"/>
  <c r="BO95" i="29"/>
  <c r="D92" i="29"/>
  <c r="E92" i="29" s="1"/>
  <c r="F92" i="29" s="1"/>
  <c r="G92" i="29" s="1"/>
  <c r="H92" i="29" s="1"/>
  <c r="I92" i="29" s="1"/>
  <c r="J92" i="29" s="1"/>
  <c r="K92" i="29" s="1"/>
  <c r="L92" i="29" s="1"/>
  <c r="M92" i="29" s="1"/>
  <c r="N92" i="29" s="1"/>
  <c r="P92" i="29" s="1"/>
  <c r="Q92" i="29" s="1"/>
  <c r="R92" i="29" s="1"/>
  <c r="S92" i="29" s="1"/>
  <c r="T92" i="29" s="1"/>
  <c r="U92" i="29" s="1"/>
  <c r="V92" i="29" s="1"/>
  <c r="W92" i="29" s="1"/>
  <c r="X92" i="29" s="1"/>
  <c r="Y92" i="29" s="1"/>
  <c r="Z92" i="29" s="1"/>
  <c r="AA92" i="29" s="1"/>
  <c r="AC92" i="29" s="1"/>
  <c r="AD92" i="29" s="1"/>
  <c r="AE92" i="29" s="1"/>
  <c r="AF92" i="29" s="1"/>
  <c r="AG92" i="29" s="1"/>
  <c r="AH92" i="29" s="1"/>
  <c r="AI92" i="29" s="1"/>
  <c r="AJ92" i="29" s="1"/>
  <c r="AK92" i="29" s="1"/>
  <c r="AL92" i="29" s="1"/>
  <c r="AM92" i="29" s="1"/>
  <c r="AN92" i="29" s="1"/>
  <c r="AP92" i="29" s="1"/>
  <c r="AQ92" i="29" s="1"/>
  <c r="AR92" i="29" s="1"/>
  <c r="AS92" i="29" s="1"/>
  <c r="AT92" i="29" s="1"/>
  <c r="AU92" i="29" s="1"/>
  <c r="AV92" i="29" s="1"/>
  <c r="AW92" i="29" s="1"/>
  <c r="AX92" i="29" s="1"/>
  <c r="AY92" i="29" s="1"/>
  <c r="AZ92" i="29" s="1"/>
  <c r="BA92" i="29" s="1"/>
  <c r="BC92" i="29" s="1"/>
  <c r="BD92" i="29" s="1"/>
  <c r="BE92" i="29" s="1"/>
  <c r="BF92" i="29" s="1"/>
  <c r="BG92" i="29" s="1"/>
  <c r="BH92" i="29" s="1"/>
  <c r="BI92" i="29" s="1"/>
  <c r="BJ92" i="29" s="1"/>
  <c r="BK92" i="29" s="1"/>
  <c r="BL92" i="29" s="1"/>
  <c r="BM92" i="29" s="1"/>
  <c r="BN92" i="29" s="1"/>
  <c r="AG77" i="29"/>
  <c r="S77" i="29"/>
  <c r="AH76" i="29"/>
  <c r="AH77" i="29" s="1"/>
  <c r="AG76" i="29"/>
  <c r="AC76" i="29"/>
  <c r="AC77" i="29" s="1"/>
  <c r="AA74" i="29" s="1"/>
  <c r="AB76" i="29"/>
  <c r="AB77" i="29" s="1"/>
  <c r="X76" i="29"/>
  <c r="X77" i="29" s="1"/>
  <c r="W76" i="29"/>
  <c r="S76" i="29"/>
  <c r="R76" i="29"/>
  <c r="R77" i="29" s="1"/>
  <c r="N76" i="29"/>
  <c r="N77" i="29" s="1"/>
  <c r="L74" i="29" s="1"/>
  <c r="M76" i="29"/>
  <c r="I76" i="29"/>
  <c r="I77" i="29" s="1"/>
  <c r="H76" i="29"/>
  <c r="H77" i="29" s="1"/>
  <c r="D76" i="29"/>
  <c r="D77" i="29" s="1"/>
  <c r="C83" i="29" s="1"/>
  <c r="C76" i="29"/>
  <c r="AF73" i="29"/>
  <c r="AA73" i="29"/>
  <c r="V73" i="29"/>
  <c r="Q73" i="29"/>
  <c r="L73" i="29"/>
  <c r="G73" i="29"/>
  <c r="B73" i="29"/>
  <c r="AF60" i="29"/>
  <c r="AF61" i="29" s="1"/>
  <c r="AF57" i="29"/>
  <c r="AA57" i="29"/>
  <c r="AA60" i="29" s="1"/>
  <c r="AA61" i="29" s="1"/>
  <c r="V57" i="29"/>
  <c r="V60" i="29" s="1"/>
  <c r="V61" i="29" s="1"/>
  <c r="Q57" i="29"/>
  <c r="Q60" i="29" s="1"/>
  <c r="Q61" i="29" s="1"/>
  <c r="L57" i="29"/>
  <c r="L60" i="29" s="1"/>
  <c r="L61" i="29" s="1"/>
  <c r="G57" i="29"/>
  <c r="G60" i="29" s="1"/>
  <c r="G61" i="29" s="1"/>
  <c r="B57" i="29"/>
  <c r="B60" i="29" s="1"/>
  <c r="B61" i="29" s="1"/>
  <c r="B44" i="29"/>
  <c r="B45" i="29" s="1"/>
  <c r="AF41" i="29"/>
  <c r="AF44" i="29" s="1"/>
  <c r="AF45" i="29" s="1"/>
  <c r="AA41" i="29"/>
  <c r="AA44" i="29" s="1"/>
  <c r="AA45" i="29" s="1"/>
  <c r="V41" i="29"/>
  <c r="V44" i="29" s="1"/>
  <c r="V45" i="29" s="1"/>
  <c r="Q41" i="29"/>
  <c r="Q44" i="29" s="1"/>
  <c r="Q45" i="29" s="1"/>
  <c r="L41" i="29"/>
  <c r="L44" i="29" s="1"/>
  <c r="L45" i="29" s="1"/>
  <c r="G41" i="29"/>
  <c r="G44" i="29" s="1"/>
  <c r="G45" i="29" s="1"/>
  <c r="B41" i="29"/>
  <c r="D17" i="29"/>
  <c r="AF9" i="29"/>
  <c r="AF12" i="29" s="1"/>
  <c r="AF13" i="29" s="1"/>
  <c r="AA9" i="29"/>
  <c r="AA12" i="29" s="1"/>
  <c r="AA13" i="29" s="1"/>
  <c r="V9" i="29"/>
  <c r="V12" i="29" s="1"/>
  <c r="V13" i="29" s="1"/>
  <c r="Q9" i="29"/>
  <c r="Q12" i="29" s="1"/>
  <c r="Q13" i="29" s="1"/>
  <c r="L9" i="29"/>
  <c r="L12" i="29" s="1"/>
  <c r="L13" i="29" s="1"/>
  <c r="G9" i="29"/>
  <c r="G12" i="29" s="1"/>
  <c r="G13" i="29" s="1"/>
  <c r="B9" i="29"/>
  <c r="B12" i="29" s="1"/>
  <c r="B13" i="29" s="1"/>
  <c r="T53" i="22"/>
  <c r="U53" i="22" s="1"/>
  <c r="T48" i="22"/>
  <c r="U48" i="22" s="1"/>
  <c r="AV87" i="30" l="1"/>
  <c r="AV88" i="30"/>
  <c r="BA90" i="30"/>
  <c r="BJ89" i="30"/>
  <c r="BF89" i="30"/>
  <c r="T107" i="22"/>
  <c r="V123" i="22"/>
  <c r="AF123" i="22" s="1"/>
  <c r="AV123" i="22"/>
  <c r="W121" i="22"/>
  <c r="X121" i="22" s="1"/>
  <c r="Y121" i="22" s="1"/>
  <c r="Z121" i="22" s="1"/>
  <c r="AA121" i="22" s="1"/>
  <c r="AB121" i="22" s="1"/>
  <c r="AC121" i="22" s="1"/>
  <c r="AD121" i="22" s="1"/>
  <c r="AE121" i="22" s="1"/>
  <c r="AG121" i="22" s="1"/>
  <c r="AH121" i="22" s="1"/>
  <c r="AI121" i="22" s="1"/>
  <c r="AJ121" i="22" s="1"/>
  <c r="AK121" i="22" s="1"/>
  <c r="AL121" i="22" s="1"/>
  <c r="AM121" i="22" s="1"/>
  <c r="AN121" i="22" s="1"/>
  <c r="AO121" i="22" s="1"/>
  <c r="AP121" i="22" s="1"/>
  <c r="AQ121" i="22" s="1"/>
  <c r="AR121" i="22" s="1"/>
  <c r="AT121" i="22" s="1"/>
  <c r="AU121" i="22" s="1"/>
  <c r="AV121" i="22" s="1"/>
  <c r="AW121" i="22" s="1"/>
  <c r="AX121" i="22" s="1"/>
  <c r="AY121" i="22" s="1"/>
  <c r="AP17" i="30"/>
  <c r="AP18" i="30" s="1"/>
  <c r="AQ18" i="30"/>
  <c r="AP14" i="30" s="1"/>
  <c r="AL85" i="30"/>
  <c r="AG85" i="30"/>
  <c r="AG18" i="30"/>
  <c r="AF17" i="30"/>
  <c r="AF18" i="30" s="1"/>
  <c r="AB85" i="30"/>
  <c r="AA17" i="30"/>
  <c r="AA18" i="30" s="1"/>
  <c r="AB18" i="30"/>
  <c r="W85" i="30"/>
  <c r="Q18" i="30"/>
  <c r="R18" i="30"/>
  <c r="Q14" i="30" s="1"/>
  <c r="R85" i="30"/>
  <c r="M85" i="30"/>
  <c r="AQ66" i="30"/>
  <c r="AP62" i="30" s="1"/>
  <c r="AP65" i="30"/>
  <c r="AP66" i="30" s="1"/>
  <c r="AQ50" i="30"/>
  <c r="AP46" i="30" s="1"/>
  <c r="AP49" i="30"/>
  <c r="AP50" i="30" s="1"/>
  <c r="AQ34" i="30"/>
  <c r="AP33" i="30"/>
  <c r="AP34" i="30" s="1"/>
  <c r="AQ85" i="30"/>
  <c r="AL66" i="30"/>
  <c r="AK62" i="30" s="1"/>
  <c r="AK65" i="30"/>
  <c r="AK66" i="30" s="1"/>
  <c r="AL50" i="30"/>
  <c r="AK46" i="30" s="1"/>
  <c r="AK49" i="30"/>
  <c r="AK50" i="30" s="1"/>
  <c r="AL34" i="30"/>
  <c r="AK30" i="30" s="1"/>
  <c r="AK33" i="30"/>
  <c r="AK34" i="30" s="1"/>
  <c r="AL18" i="30"/>
  <c r="AK17" i="30"/>
  <c r="AK18" i="30" s="1"/>
  <c r="W18" i="30"/>
  <c r="V14" i="30" s="1"/>
  <c r="V17" i="30"/>
  <c r="V18" i="30" s="1"/>
  <c r="H85" i="30"/>
  <c r="C85" i="30"/>
  <c r="AG66" i="30"/>
  <c r="AF62" i="30" s="1"/>
  <c r="AF65" i="30"/>
  <c r="AF66" i="30" s="1"/>
  <c r="AB66" i="30"/>
  <c r="AA62" i="30" s="1"/>
  <c r="AA65" i="30"/>
  <c r="AA66" i="30" s="1"/>
  <c r="W66" i="30"/>
  <c r="V62" i="30" s="1"/>
  <c r="V65" i="30"/>
  <c r="V66" i="30" s="1"/>
  <c r="R66" i="30"/>
  <c r="Q62" i="30" s="1"/>
  <c r="Q65" i="30"/>
  <c r="Q66" i="30" s="1"/>
  <c r="M66" i="30"/>
  <c r="L62" i="30" s="1"/>
  <c r="L65" i="30"/>
  <c r="L66" i="30" s="1"/>
  <c r="H66" i="30"/>
  <c r="G62" i="30" s="1"/>
  <c r="G65" i="30"/>
  <c r="G66" i="30" s="1"/>
  <c r="C66" i="30"/>
  <c r="B65" i="30"/>
  <c r="B66" i="30" s="1"/>
  <c r="AG50" i="30"/>
  <c r="AF46" i="30" s="1"/>
  <c r="AF49" i="30"/>
  <c r="AF50" i="30" s="1"/>
  <c r="AB50" i="30"/>
  <c r="AA46" i="30" s="1"/>
  <c r="AA49" i="30"/>
  <c r="AA50" i="30" s="1"/>
  <c r="W50" i="30"/>
  <c r="V46" i="30" s="1"/>
  <c r="V49" i="30"/>
  <c r="V50" i="30" s="1"/>
  <c r="R50" i="30"/>
  <c r="Q49" i="30"/>
  <c r="Q50" i="30" s="1"/>
  <c r="M50" i="30"/>
  <c r="L46" i="30" s="1"/>
  <c r="L49" i="30"/>
  <c r="L50" i="30" s="1"/>
  <c r="H50" i="30"/>
  <c r="G46" i="30" s="1"/>
  <c r="G49" i="30"/>
  <c r="G50" i="30" s="1"/>
  <c r="C50" i="30"/>
  <c r="B46" i="30" s="1"/>
  <c r="B49" i="30"/>
  <c r="B50" i="30" s="1"/>
  <c r="AG34" i="30"/>
  <c r="AF30" i="30" s="1"/>
  <c r="AF33" i="30"/>
  <c r="AF34" i="30" s="1"/>
  <c r="AB34" i="30"/>
  <c r="AA30" i="30" s="1"/>
  <c r="AA33" i="30"/>
  <c r="AA34" i="30" s="1"/>
  <c r="W34" i="30"/>
  <c r="V33" i="30"/>
  <c r="V34" i="30" s="1"/>
  <c r="R34" i="30"/>
  <c r="Q30" i="30" s="1"/>
  <c r="Q33" i="30"/>
  <c r="Q34" i="30" s="1"/>
  <c r="M34" i="30"/>
  <c r="L30" i="30" s="1"/>
  <c r="L33" i="30"/>
  <c r="L34" i="30" s="1"/>
  <c r="H34" i="30"/>
  <c r="G30" i="30" s="1"/>
  <c r="G33" i="30"/>
  <c r="G34" i="30" s="1"/>
  <c r="B33" i="30"/>
  <c r="B34" i="30" s="1"/>
  <c r="C34" i="30"/>
  <c r="B30" i="30" s="1"/>
  <c r="M18" i="30"/>
  <c r="L17" i="30"/>
  <c r="L18" i="30" s="1"/>
  <c r="H18" i="30"/>
  <c r="G17" i="30"/>
  <c r="G18" i="30" s="1"/>
  <c r="B14" i="30"/>
  <c r="V76" i="29"/>
  <c r="V77" i="29" s="1"/>
  <c r="AA76" i="29"/>
  <c r="AA77" i="29" s="1"/>
  <c r="B76" i="29"/>
  <c r="B77" i="29" s="1"/>
  <c r="G76" i="29"/>
  <c r="G77" i="29" s="1"/>
  <c r="G85" i="29"/>
  <c r="L76" i="29"/>
  <c r="L77" i="29" s="1"/>
  <c r="G84" i="29"/>
  <c r="G32" i="29" s="1"/>
  <c r="B32" i="29"/>
  <c r="L32" i="29"/>
  <c r="Q84" i="29"/>
  <c r="L17" i="29"/>
  <c r="L97" i="29"/>
  <c r="BF97" i="29"/>
  <c r="C34" i="29"/>
  <c r="B30" i="29" s="1"/>
  <c r="L48" i="29"/>
  <c r="Q76" i="29"/>
  <c r="Q77" i="29" s="1"/>
  <c r="Q74" i="29"/>
  <c r="X17" i="29"/>
  <c r="N49" i="29"/>
  <c r="L49" i="29" s="1"/>
  <c r="AH34" i="29"/>
  <c r="N34" i="29"/>
  <c r="B33" i="29"/>
  <c r="B34" i="29" s="1"/>
  <c r="P97" i="29"/>
  <c r="AF97" i="29"/>
  <c r="AU97" i="29"/>
  <c r="BH97" i="29"/>
  <c r="BI97" i="29"/>
  <c r="S97" i="29"/>
  <c r="AH97" i="29"/>
  <c r="AW97" i="29"/>
  <c r="BJ97" i="29"/>
  <c r="G87" i="29"/>
  <c r="B48" i="29"/>
  <c r="L64" i="29"/>
  <c r="AS97" i="29"/>
  <c r="AT97" i="29"/>
  <c r="AV97" i="29"/>
  <c r="V74" i="29"/>
  <c r="C97" i="29"/>
  <c r="AI97" i="29"/>
  <c r="AX97" i="29"/>
  <c r="BK97" i="29"/>
  <c r="D97" i="29"/>
  <c r="V97" i="29"/>
  <c r="AJ97" i="29"/>
  <c r="AY97" i="29"/>
  <c r="BL97" i="29"/>
  <c r="D49" i="29"/>
  <c r="S17" i="29"/>
  <c r="AC65" i="29"/>
  <c r="BG97" i="29"/>
  <c r="AG97" i="29"/>
  <c r="B74" i="29"/>
  <c r="E97" i="29"/>
  <c r="AK97" i="29"/>
  <c r="AZ97" i="29"/>
  <c r="BM97" i="29"/>
  <c r="B65" i="29"/>
  <c r="BN97" i="29"/>
  <c r="AF76" i="29"/>
  <c r="AF77" i="29" s="1"/>
  <c r="Y97" i="29"/>
  <c r="AM97" i="29"/>
  <c r="BC97" i="29"/>
  <c r="AE97" i="29"/>
  <c r="AL97" i="29"/>
  <c r="G74" i="29"/>
  <c r="AF74" i="29"/>
  <c r="I97" i="29"/>
  <c r="Z97" i="29"/>
  <c r="AN97" i="29"/>
  <c r="BD97" i="29"/>
  <c r="F97" i="29"/>
  <c r="X97" i="29"/>
  <c r="BA97" i="29"/>
  <c r="M77" i="29"/>
  <c r="AA97" i="29"/>
  <c r="AR97" i="29"/>
  <c r="N65" i="29"/>
  <c r="L16" i="29"/>
  <c r="B64" i="29"/>
  <c r="AF113" i="22"/>
  <c r="AH113" i="22"/>
  <c r="AI113" i="22" s="1"/>
  <c r="AJ113" i="22" s="1"/>
  <c r="AK113" i="22" s="1"/>
  <c r="AL113" i="22" s="1"/>
  <c r="AO113" i="22" s="1"/>
  <c r="AP113" i="22" s="1"/>
  <c r="AQ113" i="22" s="1"/>
  <c r="AR113" i="22" s="1"/>
  <c r="AT113" i="22" s="1"/>
  <c r="U111" i="22"/>
  <c r="X111" i="22" s="1"/>
  <c r="Y111" i="22" s="1"/>
  <c r="Z111" i="22" s="1"/>
  <c r="AA111" i="22" s="1"/>
  <c r="AB111" i="22" s="1"/>
  <c r="AC111" i="22" s="1"/>
  <c r="AD111" i="22" s="1"/>
  <c r="AE111" i="22" s="1"/>
  <c r="AH111" i="22" s="1"/>
  <c r="AI111" i="22" s="1"/>
  <c r="AJ111" i="22" s="1"/>
  <c r="AK111" i="22" s="1"/>
  <c r="AL111" i="22" s="1"/>
  <c r="G126" i="22"/>
  <c r="AH114" i="22"/>
  <c r="AI114" i="22" s="1"/>
  <c r="AJ114" i="22" s="1"/>
  <c r="AK114" i="22" s="1"/>
  <c r="AL114" i="22" s="1"/>
  <c r="AM114" i="22" s="1"/>
  <c r="AN114" i="22" s="1"/>
  <c r="AO114" i="22" s="1"/>
  <c r="AP114" i="22" s="1"/>
  <c r="AQ114" i="22" s="1"/>
  <c r="AR114" i="22" s="1"/>
  <c r="AT114" i="22" s="1"/>
  <c r="AH116" i="22"/>
  <c r="AI116" i="22" s="1"/>
  <c r="AJ116" i="22" s="1"/>
  <c r="AK116" i="22" s="1"/>
  <c r="AL116" i="22" s="1"/>
  <c r="AM116" i="22" s="1"/>
  <c r="AN116" i="22" s="1"/>
  <c r="AO116" i="22" s="1"/>
  <c r="AP116" i="22" s="1"/>
  <c r="AQ116" i="22" s="1"/>
  <c r="AR116" i="22" s="1"/>
  <c r="AT116" i="22" s="1"/>
  <c r="AF114" i="22"/>
  <c r="S116" i="22"/>
  <c r="AF116" i="22"/>
  <c r="S118" i="22"/>
  <c r="U122" i="22"/>
  <c r="AA122" i="22" s="1"/>
  <c r="AB122" i="22" s="1"/>
  <c r="AC122" i="22" s="1"/>
  <c r="AD122" i="22" s="1"/>
  <c r="AE122" i="22" s="1"/>
  <c r="AG122" i="22" s="1"/>
  <c r="AH122" i="22" s="1"/>
  <c r="AI122" i="22" s="1"/>
  <c r="AJ122" i="22" s="1"/>
  <c r="AK122" i="22" s="1"/>
  <c r="AL122" i="22" s="1"/>
  <c r="AM122" i="22" s="1"/>
  <c r="AN122" i="22" s="1"/>
  <c r="AO122" i="22" s="1"/>
  <c r="AP122" i="22" s="1"/>
  <c r="AQ122" i="22" s="1"/>
  <c r="AR122" i="22" s="1"/>
  <c r="AT122" i="22" s="1"/>
  <c r="AF118" i="22"/>
  <c r="S120" i="22"/>
  <c r="U120" i="22"/>
  <c r="V120" i="22" s="1"/>
  <c r="W120" i="22" s="1"/>
  <c r="X120" i="22" s="1"/>
  <c r="Y120" i="22" s="1"/>
  <c r="Z120" i="22" s="1"/>
  <c r="AA120" i="22" s="1"/>
  <c r="AB120" i="22" s="1"/>
  <c r="AC120" i="22" s="1"/>
  <c r="AD120" i="22" s="1"/>
  <c r="AE120" i="22" s="1"/>
  <c r="AH120" i="22" s="1"/>
  <c r="AI120" i="22" s="1"/>
  <c r="AJ120" i="22" s="1"/>
  <c r="AK120" i="22" s="1"/>
  <c r="AL120" i="22" s="1"/>
  <c r="AN120" i="22" s="1"/>
  <c r="AO120" i="22" s="1"/>
  <c r="AP120" i="22" s="1"/>
  <c r="AQ120" i="22" s="1"/>
  <c r="AR120" i="22" s="1"/>
  <c r="AT120" i="22" s="1"/>
  <c r="AH118" i="22"/>
  <c r="AI118" i="22" s="1"/>
  <c r="AJ118" i="22" s="1"/>
  <c r="AK118" i="22" s="1"/>
  <c r="AL118" i="22" s="1"/>
  <c r="AM118" i="22" s="1"/>
  <c r="AN118" i="22" s="1"/>
  <c r="AO118" i="22" s="1"/>
  <c r="AP118" i="22" s="1"/>
  <c r="AQ118" i="22" s="1"/>
  <c r="AR118" i="22" s="1"/>
  <c r="AT118" i="22" s="1"/>
  <c r="S122" i="22"/>
  <c r="AC66" i="29"/>
  <c r="BK98" i="29"/>
  <c r="AX98" i="29"/>
  <c r="AJ98" i="29"/>
  <c r="V98" i="29"/>
  <c r="AY98" i="29"/>
  <c r="BJ98" i="29"/>
  <c r="AW98" i="29"/>
  <c r="AI98" i="29"/>
  <c r="BL98" i="29"/>
  <c r="BI98" i="29"/>
  <c r="AV98" i="29"/>
  <c r="AH98" i="29"/>
  <c r="S98" i="29"/>
  <c r="BH98" i="29"/>
  <c r="AU98" i="29"/>
  <c r="AG98" i="29"/>
  <c r="AK98" i="29"/>
  <c r="BG98" i="29"/>
  <c r="AT98" i="29"/>
  <c r="AF98" i="29"/>
  <c r="P98" i="29"/>
  <c r="BF98" i="29"/>
  <c r="AS98" i="29"/>
  <c r="AE98" i="29"/>
  <c r="BE98" i="29"/>
  <c r="AR98" i="29"/>
  <c r="L98" i="29"/>
  <c r="AZ98" i="29"/>
  <c r="BD98" i="29"/>
  <c r="AA98" i="29"/>
  <c r="X98" i="29"/>
  <c r="BC98" i="29"/>
  <c r="AN98" i="29"/>
  <c r="Z98" i="29"/>
  <c r="I98" i="29"/>
  <c r="AL98" i="29"/>
  <c r="BN98" i="29"/>
  <c r="BA98" i="29"/>
  <c r="AM98" i="29"/>
  <c r="Y98" i="29"/>
  <c r="BM98" i="29"/>
  <c r="I66" i="29"/>
  <c r="D66" i="29"/>
  <c r="I18" i="29"/>
  <c r="N18" i="29"/>
  <c r="I50" i="29"/>
  <c r="AH50" i="29"/>
  <c r="X18" i="29"/>
  <c r="W83" i="29" s="1"/>
  <c r="AC18" i="29"/>
  <c r="AB83" i="29" s="1"/>
  <c r="AH66" i="29"/>
  <c r="AH18" i="29"/>
  <c r="AG83" i="29" s="1"/>
  <c r="S50" i="29"/>
  <c r="X66" i="29"/>
  <c r="D18" i="29"/>
  <c r="X50" i="29"/>
  <c r="AC50" i="29"/>
  <c r="B16" i="29"/>
  <c r="C77" i="29"/>
  <c r="W77" i="29"/>
  <c r="S66" i="29"/>
  <c r="BO270" i="27"/>
  <c r="BN270" i="27"/>
  <c r="BM270" i="27"/>
  <c r="BL270" i="27"/>
  <c r="BK270" i="27"/>
  <c r="BJ270" i="27"/>
  <c r="BI270" i="27"/>
  <c r="BH270" i="27"/>
  <c r="BG270" i="27"/>
  <c r="BF270" i="27"/>
  <c r="BE270" i="27"/>
  <c r="BD270" i="27"/>
  <c r="BP270" i="27" s="1"/>
  <c r="BB270" i="27"/>
  <c r="BA270" i="27"/>
  <c r="AZ270" i="27"/>
  <c r="AY270" i="27"/>
  <c r="AX270" i="27"/>
  <c r="AW270" i="27"/>
  <c r="AV270" i="27"/>
  <c r="AU270" i="27"/>
  <c r="AT270" i="27"/>
  <c r="AS270" i="27"/>
  <c r="AR270" i="27"/>
  <c r="AQ270" i="27"/>
  <c r="BC270" i="27" s="1"/>
  <c r="AO270" i="27"/>
  <c r="AN270" i="27"/>
  <c r="AM270" i="27"/>
  <c r="AL270" i="27"/>
  <c r="AK270" i="27"/>
  <c r="AJ270" i="27"/>
  <c r="AI270" i="27"/>
  <c r="AH270" i="27"/>
  <c r="AG270" i="27"/>
  <c r="AF270" i="27"/>
  <c r="AE270" i="27"/>
  <c r="AD270" i="27"/>
  <c r="AP270" i="27" s="1"/>
  <c r="AA270" i="27"/>
  <c r="Z270" i="27"/>
  <c r="Y270" i="27"/>
  <c r="X270" i="27"/>
  <c r="W270" i="27"/>
  <c r="U270" i="27"/>
  <c r="T270" i="27"/>
  <c r="S270" i="27"/>
  <c r="R270" i="27"/>
  <c r="Q270" i="27"/>
  <c r="AC270" i="27" s="1"/>
  <c r="P270" i="27"/>
  <c r="BQ270" i="27" s="1"/>
  <c r="N270" i="27"/>
  <c r="M270" i="27"/>
  <c r="L270" i="27"/>
  <c r="K270" i="27"/>
  <c r="J270" i="27"/>
  <c r="H270" i="27"/>
  <c r="G270" i="27"/>
  <c r="E270" i="27"/>
  <c r="C270" i="27"/>
  <c r="C269" i="27"/>
  <c r="BP268" i="27"/>
  <c r="BC268" i="27"/>
  <c r="AI268" i="27"/>
  <c r="AP268" i="27" s="1"/>
  <c r="AC268" i="27"/>
  <c r="AB268" i="27"/>
  <c r="V268" i="27"/>
  <c r="V270" i="27" s="1"/>
  <c r="O268" i="27"/>
  <c r="I268" i="27"/>
  <c r="P268" i="27" s="1"/>
  <c r="BP267" i="27"/>
  <c r="BC267" i="27"/>
  <c r="AI267" i="27"/>
  <c r="AP267" i="27" s="1"/>
  <c r="AB267" i="27"/>
  <c r="V267" i="27"/>
  <c r="O267" i="27"/>
  <c r="I267" i="27"/>
  <c r="U264" i="27"/>
  <c r="V264" i="27" s="1"/>
  <c r="W264" i="27" s="1"/>
  <c r="X264" i="27" s="1"/>
  <c r="Y264" i="27" s="1"/>
  <c r="Z264" i="27" s="1"/>
  <c r="AA264" i="27" s="1"/>
  <c r="AB264" i="27" s="1"/>
  <c r="AD264" i="27" s="1"/>
  <c r="AE264" i="27" s="1"/>
  <c r="AF264" i="27" s="1"/>
  <c r="AG264" i="27" s="1"/>
  <c r="AH264" i="27" s="1"/>
  <c r="AI264" i="27" s="1"/>
  <c r="AJ264" i="27" s="1"/>
  <c r="AK264" i="27" s="1"/>
  <c r="AL264" i="27" s="1"/>
  <c r="AM264" i="27" s="1"/>
  <c r="AN264" i="27" s="1"/>
  <c r="AO264" i="27" s="1"/>
  <c r="AQ264" i="27" s="1"/>
  <c r="AR264" i="27" s="1"/>
  <c r="AS264" i="27" s="1"/>
  <c r="AT264" i="27" s="1"/>
  <c r="AU264" i="27" s="1"/>
  <c r="AV264" i="27" s="1"/>
  <c r="AW264" i="27" s="1"/>
  <c r="AX264" i="27" s="1"/>
  <c r="AY264" i="27" s="1"/>
  <c r="AZ264" i="27" s="1"/>
  <c r="BA264" i="27" s="1"/>
  <c r="BB264" i="27" s="1"/>
  <c r="BD264" i="27" s="1"/>
  <c r="BE264" i="27" s="1"/>
  <c r="BF264" i="27" s="1"/>
  <c r="BG264" i="27" s="1"/>
  <c r="BH264" i="27" s="1"/>
  <c r="BI264" i="27" s="1"/>
  <c r="BJ264" i="27" s="1"/>
  <c r="BK264" i="27" s="1"/>
  <c r="BL264" i="27" s="1"/>
  <c r="BM264" i="27" s="1"/>
  <c r="BN264" i="27" s="1"/>
  <c r="BO264" i="27" s="1"/>
  <c r="H264" i="27"/>
  <c r="I264" i="27" s="1"/>
  <c r="J264" i="27" s="1"/>
  <c r="K264" i="27" s="1"/>
  <c r="L264" i="27" s="1"/>
  <c r="M264" i="27" s="1"/>
  <c r="N264" i="27" s="1"/>
  <c r="O264" i="27" s="1"/>
  <c r="Q264" i="27" s="1"/>
  <c r="R264" i="27" s="1"/>
  <c r="S264" i="27" s="1"/>
  <c r="T264" i="27" s="1"/>
  <c r="E264" i="27"/>
  <c r="F264" i="27" s="1"/>
  <c r="G264" i="27" s="1"/>
  <c r="J250" i="27"/>
  <c r="E250" i="27"/>
  <c r="J249" i="27"/>
  <c r="E249" i="27"/>
  <c r="J245" i="27"/>
  <c r="J252" i="27" s="1"/>
  <c r="E245" i="27"/>
  <c r="E252" i="27" s="1"/>
  <c r="J244" i="27"/>
  <c r="E244" i="27"/>
  <c r="J243" i="27"/>
  <c r="E243" i="27"/>
  <c r="O235" i="27"/>
  <c r="J235" i="27"/>
  <c r="V221" i="27" s="1"/>
  <c r="V223" i="27" s="1"/>
  <c r="E235" i="27"/>
  <c r="O233" i="27"/>
  <c r="E231" i="27"/>
  <c r="O230" i="27"/>
  <c r="J230" i="27"/>
  <c r="J231" i="27" s="1"/>
  <c r="E230" i="27"/>
  <c r="V228" i="27"/>
  <c r="V227" i="27"/>
  <c r="V226" i="27"/>
  <c r="O226" i="27"/>
  <c r="J226" i="27"/>
  <c r="J233" i="27" s="1"/>
  <c r="E226" i="27"/>
  <c r="E233" i="27" s="1"/>
  <c r="V225" i="27"/>
  <c r="O225" i="27"/>
  <c r="J225" i="27"/>
  <c r="E225" i="27"/>
  <c r="O224" i="27"/>
  <c r="J224" i="27"/>
  <c r="E224" i="27"/>
  <c r="V218" i="27"/>
  <c r="V214" i="27"/>
  <c r="S213" i="27"/>
  <c r="S212" i="27"/>
  <c r="S211" i="27"/>
  <c r="S210" i="27"/>
  <c r="I248" i="27" s="1"/>
  <c r="G88" i="27"/>
  <c r="G89" i="27" s="1"/>
  <c r="G67" i="27"/>
  <c r="E66" i="27"/>
  <c r="G61" i="27"/>
  <c r="G101" i="27" s="1"/>
  <c r="G152" i="27" s="1"/>
  <c r="G169" i="27" s="1"/>
  <c r="G186" i="27" s="1"/>
  <c r="D61" i="27"/>
  <c r="J60" i="27"/>
  <c r="D44" i="27"/>
  <c r="G43" i="27"/>
  <c r="G72" i="27" s="1"/>
  <c r="E43" i="27"/>
  <c r="E44" i="27" s="1"/>
  <c r="D43" i="27"/>
  <c r="D72" i="27" s="1"/>
  <c r="E39" i="27"/>
  <c r="J38" i="27"/>
  <c r="J49" i="27" s="1"/>
  <c r="G38" i="27"/>
  <c r="G49" i="27" s="1"/>
  <c r="D38" i="27"/>
  <c r="D67" i="27" s="1"/>
  <c r="C38" i="27"/>
  <c r="C67" i="27" s="1"/>
  <c r="J37" i="27"/>
  <c r="E37" i="27"/>
  <c r="E48" i="27" s="1"/>
  <c r="D37" i="27"/>
  <c r="D48" i="27" s="1"/>
  <c r="J33" i="27"/>
  <c r="J32" i="27"/>
  <c r="J61" i="27" s="1"/>
  <c r="G32" i="27"/>
  <c r="D32" i="27"/>
  <c r="J31" i="27"/>
  <c r="G31" i="27"/>
  <c r="D31" i="27"/>
  <c r="D60" i="27" s="1"/>
  <c r="J20" i="27"/>
  <c r="D20" i="27"/>
  <c r="C20" i="27"/>
  <c r="J19" i="27"/>
  <c r="J43" i="27" s="1"/>
  <c r="G19" i="27"/>
  <c r="G20" i="27" s="1"/>
  <c r="E19" i="27"/>
  <c r="E20" i="27" s="1"/>
  <c r="D19" i="27"/>
  <c r="C19" i="27"/>
  <c r="E15" i="27"/>
  <c r="D15" i="27"/>
  <c r="J14" i="27"/>
  <c r="G14" i="27"/>
  <c r="F14" i="27"/>
  <c r="E14" i="27"/>
  <c r="E38" i="27" s="1"/>
  <c r="D14" i="27"/>
  <c r="C14" i="27"/>
  <c r="H14" i="27" s="1"/>
  <c r="J13" i="27"/>
  <c r="J15" i="27" s="1"/>
  <c r="G13" i="27"/>
  <c r="G15" i="27" s="1"/>
  <c r="E13" i="27"/>
  <c r="D13" i="27"/>
  <c r="C13" i="27"/>
  <c r="G9" i="27"/>
  <c r="D9" i="27"/>
  <c r="J8" i="27"/>
  <c r="J9" i="27" s="1"/>
  <c r="H8" i="27"/>
  <c r="G8" i="27"/>
  <c r="E8" i="27"/>
  <c r="E32" i="27" s="1"/>
  <c r="E61" i="27" s="1"/>
  <c r="E101" i="27" s="1"/>
  <c r="E152" i="27" s="1"/>
  <c r="E169" i="27" s="1"/>
  <c r="E186" i="27" s="1"/>
  <c r="D8" i="27"/>
  <c r="C8" i="27"/>
  <c r="G7" i="27"/>
  <c r="E7" i="27"/>
  <c r="D7" i="27"/>
  <c r="C7" i="27"/>
  <c r="H7" i="27" s="1"/>
  <c r="AV98" i="30" l="1"/>
  <c r="AV89" i="30"/>
  <c r="BF90" i="30"/>
  <c r="BO89" i="30"/>
  <c r="BK89" i="30"/>
  <c r="AM111" i="22"/>
  <c r="AN111" i="22" s="1"/>
  <c r="AO111" i="22" s="1"/>
  <c r="AP111" i="22" s="1"/>
  <c r="AQ111" i="22" s="1"/>
  <c r="AR111" i="22" s="1"/>
  <c r="AT111" i="22" s="1"/>
  <c r="AU111" i="22" s="1"/>
  <c r="AV111" i="22" s="1"/>
  <c r="AW111" i="22" s="1"/>
  <c r="AX111" i="22" s="1"/>
  <c r="AY111" i="22" s="1"/>
  <c r="AZ111" i="22" s="1"/>
  <c r="BA111" i="22" s="1"/>
  <c r="BB111" i="22" s="1"/>
  <c r="BC111" i="22" s="1"/>
  <c r="BD111" i="22" s="1"/>
  <c r="BE111" i="22" s="1"/>
  <c r="BG111" i="22" s="1"/>
  <c r="BH111" i="22" s="1"/>
  <c r="BI111" i="22" s="1"/>
  <c r="BJ111" i="22" s="1"/>
  <c r="BK111" i="22" s="1"/>
  <c r="BL111" i="22" s="1"/>
  <c r="BM111" i="22" s="1"/>
  <c r="BN111" i="22" s="1"/>
  <c r="BO111" i="22" s="1"/>
  <c r="BP111" i="22" s="1"/>
  <c r="BQ111" i="22" s="1"/>
  <c r="BR111" i="22" s="1"/>
  <c r="BT111" i="22" s="1"/>
  <c r="AL107" i="22"/>
  <c r="U107" i="22"/>
  <c r="AF121" i="22"/>
  <c r="AS121" i="22"/>
  <c r="AW123" i="22"/>
  <c r="AX123" i="22" s="1"/>
  <c r="AZ121" i="22"/>
  <c r="BA121" i="22" s="1"/>
  <c r="BB121" i="22" s="1"/>
  <c r="BC121" i="22" s="1"/>
  <c r="BD121" i="22" s="1"/>
  <c r="BE121" i="22" s="1"/>
  <c r="BG121" i="22" s="1"/>
  <c r="BH121" i="22" s="1"/>
  <c r="AF14" i="30"/>
  <c r="AG86" i="30"/>
  <c r="AG87" i="30" s="1"/>
  <c r="AG88" i="30" s="1"/>
  <c r="AB86" i="30"/>
  <c r="AB87" i="30" s="1"/>
  <c r="AB88" i="30" s="1"/>
  <c r="AA14" i="30"/>
  <c r="Q46" i="30"/>
  <c r="R86" i="30"/>
  <c r="R87" i="30" s="1"/>
  <c r="R88" i="30" s="1"/>
  <c r="AQ86" i="30"/>
  <c r="AP30" i="30"/>
  <c r="AK14" i="30"/>
  <c r="AL86" i="30"/>
  <c r="B62" i="30"/>
  <c r="C86" i="30"/>
  <c r="W86" i="30"/>
  <c r="V30" i="30"/>
  <c r="M86" i="30"/>
  <c r="L14" i="30"/>
  <c r="H86" i="30"/>
  <c r="G14" i="30"/>
  <c r="AU99" i="29"/>
  <c r="AU102" i="29" s="1"/>
  <c r="BK99" i="29"/>
  <c r="BK102" i="29" s="1"/>
  <c r="G65" i="29"/>
  <c r="G66" i="29" s="1"/>
  <c r="AI99" i="29"/>
  <c r="AI102" i="29" s="1"/>
  <c r="L49" i="27"/>
  <c r="G30" i="29"/>
  <c r="D230" i="27"/>
  <c r="C230" i="27" s="1"/>
  <c r="G64" i="29"/>
  <c r="G48" i="29"/>
  <c r="G49" i="29"/>
  <c r="G50" i="29" s="1"/>
  <c r="G33" i="29"/>
  <c r="G34" i="29" s="1"/>
  <c r="G16" i="29"/>
  <c r="G17" i="29"/>
  <c r="G18" i="29" s="1"/>
  <c r="L14" i="27"/>
  <c r="Q14" i="27" s="1"/>
  <c r="R14" i="27" s="1"/>
  <c r="L31" i="27"/>
  <c r="M31" i="27" s="1"/>
  <c r="N31" i="27" s="1"/>
  <c r="AW99" i="29"/>
  <c r="AW102" i="29" s="1"/>
  <c r="L7" i="27"/>
  <c r="BG99" i="29"/>
  <c r="BG102" i="29" s="1"/>
  <c r="Q65" i="29"/>
  <c r="Q66" i="29" s="1"/>
  <c r="R66" i="29"/>
  <c r="Q62" i="29" s="1"/>
  <c r="AL99" i="29"/>
  <c r="AL102" i="29" s="1"/>
  <c r="V84" i="29"/>
  <c r="Q32" i="29"/>
  <c r="BE99" i="29"/>
  <c r="BE102" i="29" s="1"/>
  <c r="Q16" i="29"/>
  <c r="Q64" i="29"/>
  <c r="Q49" i="29"/>
  <c r="Q50" i="29" s="1"/>
  <c r="Q48" i="29"/>
  <c r="Q17" i="29"/>
  <c r="AX99" i="29"/>
  <c r="AX102" i="29" s="1"/>
  <c r="N50" i="29"/>
  <c r="M34" i="29"/>
  <c r="L30" i="29" s="1"/>
  <c r="L33" i="29"/>
  <c r="L34" i="29" s="1"/>
  <c r="AG99" i="29"/>
  <c r="AG102" i="29" s="1"/>
  <c r="BO97" i="29"/>
  <c r="AY99" i="29"/>
  <c r="AY102" i="29" s="1"/>
  <c r="BH99" i="29"/>
  <c r="BH102" i="29" s="1"/>
  <c r="AR99" i="29"/>
  <c r="AR102" i="29" s="1"/>
  <c r="AN99" i="29"/>
  <c r="AN102" i="29" s="1"/>
  <c r="BA99" i="29"/>
  <c r="BA102" i="29" s="1"/>
  <c r="AZ99" i="29"/>
  <c r="AZ102" i="29" s="1"/>
  <c r="E99" i="29"/>
  <c r="D99" i="29"/>
  <c r="AH99" i="29"/>
  <c r="AH102" i="29" s="1"/>
  <c r="BM99" i="29"/>
  <c r="BM102" i="29" s="1"/>
  <c r="V99" i="29"/>
  <c r="V102" i="29" s="1"/>
  <c r="AT99" i="29"/>
  <c r="AT102" i="29" s="1"/>
  <c r="AA99" i="29"/>
  <c r="AA102" i="29" s="1"/>
  <c r="AV99" i="29"/>
  <c r="AV102" i="29" s="1"/>
  <c r="BC99" i="29"/>
  <c r="BC102" i="29" s="1"/>
  <c r="BJ99" i="29"/>
  <c r="BJ102" i="29" s="1"/>
  <c r="BN99" i="29"/>
  <c r="BN102" i="29" s="1"/>
  <c r="Y99" i="29"/>
  <c r="Y102" i="29" s="1"/>
  <c r="P99" i="29"/>
  <c r="P102" i="29" s="1"/>
  <c r="BI99" i="29"/>
  <c r="BI102" i="29" s="1"/>
  <c r="X99" i="29"/>
  <c r="X102" i="29" s="1"/>
  <c r="BD99" i="29"/>
  <c r="BD102" i="29" s="1"/>
  <c r="AF99" i="29"/>
  <c r="AF102" i="29" s="1"/>
  <c r="BL99" i="29"/>
  <c r="BL102" i="29" s="1"/>
  <c r="F99" i="29"/>
  <c r="Z99" i="29"/>
  <c r="Z102" i="29" s="1"/>
  <c r="BF99" i="29"/>
  <c r="BF102" i="29" s="1"/>
  <c r="AJ99" i="29"/>
  <c r="AJ102" i="29" s="1"/>
  <c r="AS99" i="29"/>
  <c r="AS102" i="29" s="1"/>
  <c r="C99" i="29"/>
  <c r="AM99" i="29"/>
  <c r="AM102" i="29" s="1"/>
  <c r="AE99" i="29"/>
  <c r="AE102" i="29" s="1"/>
  <c r="AK99" i="29"/>
  <c r="AK102" i="29" s="1"/>
  <c r="D50" i="29"/>
  <c r="S99" i="29"/>
  <c r="S102" i="29" s="1"/>
  <c r="I99" i="29"/>
  <c r="I102" i="29" s="1"/>
  <c r="L99" i="29"/>
  <c r="L102" i="29" s="1"/>
  <c r="L65" i="29"/>
  <c r="L66" i="29" s="1"/>
  <c r="N66" i="29"/>
  <c r="AS113" i="22"/>
  <c r="AU113" i="22"/>
  <c r="AV113" i="22" s="1"/>
  <c r="AW113" i="22" s="1"/>
  <c r="AX113" i="22" s="1"/>
  <c r="AY113" i="22" s="1"/>
  <c r="AZ113" i="22" s="1"/>
  <c r="BA113" i="22" s="1"/>
  <c r="BB113" i="22" s="1"/>
  <c r="BC113" i="22" s="1"/>
  <c r="BD113" i="22" s="1"/>
  <c r="BE113" i="22" s="1"/>
  <c r="BG113" i="22" s="1"/>
  <c r="T126" i="22"/>
  <c r="AS118" i="22"/>
  <c r="AF122" i="22"/>
  <c r="AF111" i="22"/>
  <c r="AS122" i="22"/>
  <c r="AS116" i="22"/>
  <c r="AU122" i="22"/>
  <c r="AV122" i="22" s="1"/>
  <c r="AW122" i="22" s="1"/>
  <c r="AX122" i="22" s="1"/>
  <c r="AY122" i="22" s="1"/>
  <c r="AZ122" i="22" s="1"/>
  <c r="BA122" i="22" s="1"/>
  <c r="BB122" i="22" s="1"/>
  <c r="BC122" i="22" s="1"/>
  <c r="BD122" i="22" s="1"/>
  <c r="BE122" i="22" s="1"/>
  <c r="BG122" i="22" s="1"/>
  <c r="AU116" i="22"/>
  <c r="AV116" i="22" s="1"/>
  <c r="AW116" i="22" s="1"/>
  <c r="AX116" i="22" s="1"/>
  <c r="AY116" i="22" s="1"/>
  <c r="AZ116" i="22" s="1"/>
  <c r="BA116" i="22" s="1"/>
  <c r="BB116" i="22" s="1"/>
  <c r="BC116" i="22" s="1"/>
  <c r="BD116" i="22" s="1"/>
  <c r="BE116" i="22" s="1"/>
  <c r="BG116" i="22" s="1"/>
  <c r="AS114" i="22"/>
  <c r="H126" i="22"/>
  <c r="H107" i="22" s="1"/>
  <c r="AU114" i="22"/>
  <c r="AV114" i="22" s="1"/>
  <c r="AW114" i="22" s="1"/>
  <c r="AX114" i="22" s="1"/>
  <c r="AY114" i="22" s="1"/>
  <c r="AZ114" i="22" s="1"/>
  <c r="BA114" i="22" s="1"/>
  <c r="BB114" i="22" s="1"/>
  <c r="BC114" i="22" s="1"/>
  <c r="BD114" i="22" s="1"/>
  <c r="BE114" i="22" s="1"/>
  <c r="BG114" i="22" s="1"/>
  <c r="AF120" i="22"/>
  <c r="AS120" i="22"/>
  <c r="AU120" i="22"/>
  <c r="AV120" i="22" s="1"/>
  <c r="AW120" i="22" s="1"/>
  <c r="AX120" i="22" s="1"/>
  <c r="AY120" i="22" s="1"/>
  <c r="AZ120" i="22" s="1"/>
  <c r="BA120" i="22" s="1"/>
  <c r="BB120" i="22" s="1"/>
  <c r="BC120" i="22" s="1"/>
  <c r="BD120" i="22" s="1"/>
  <c r="BE120" i="22" s="1"/>
  <c r="BG120" i="22" s="1"/>
  <c r="AU118" i="22"/>
  <c r="AV118" i="22" s="1"/>
  <c r="AW118" i="22" s="1"/>
  <c r="AX118" i="22" s="1"/>
  <c r="AY118" i="22" s="1"/>
  <c r="AZ118" i="22" s="1"/>
  <c r="BA118" i="22" s="1"/>
  <c r="BB118" i="22" s="1"/>
  <c r="BC118" i="22" s="1"/>
  <c r="BD118" i="22" s="1"/>
  <c r="BE118" i="22" s="1"/>
  <c r="BG118" i="22" s="1"/>
  <c r="G107" i="22"/>
  <c r="BO98" i="29"/>
  <c r="C66" i="29"/>
  <c r="B62" i="29" s="1"/>
  <c r="B66" i="29"/>
  <c r="M50" i="29"/>
  <c r="L46" i="29" s="1"/>
  <c r="L50" i="29"/>
  <c r="L18" i="29"/>
  <c r="M18" i="29"/>
  <c r="B17" i="29"/>
  <c r="B18" i="29" s="1"/>
  <c r="C18" i="29"/>
  <c r="S18" i="29"/>
  <c r="R83" i="29" s="1"/>
  <c r="N230" i="27"/>
  <c r="M230" i="27" s="1"/>
  <c r="H248" i="27"/>
  <c r="D231" i="27"/>
  <c r="C231" i="27" s="1"/>
  <c r="C232" i="27" s="1"/>
  <c r="D249" i="27"/>
  <c r="C249" i="27" s="1"/>
  <c r="I249" i="27"/>
  <c r="H249" i="27" s="1"/>
  <c r="L19" i="27"/>
  <c r="L20" i="27" s="1"/>
  <c r="I250" i="27"/>
  <c r="D250" i="27"/>
  <c r="C250" i="27" s="1"/>
  <c r="C252" i="27" s="1"/>
  <c r="I229" i="27"/>
  <c r="H229" i="27" s="1"/>
  <c r="L8" i="27"/>
  <c r="I231" i="27"/>
  <c r="H231" i="27" s="1"/>
  <c r="H233" i="27" s="1"/>
  <c r="J101" i="27"/>
  <c r="L61" i="27"/>
  <c r="H9" i="27"/>
  <c r="G37" i="27"/>
  <c r="E72" i="27"/>
  <c r="F7" i="27"/>
  <c r="D10" i="27"/>
  <c r="C9" i="27"/>
  <c r="C31" i="27"/>
  <c r="E50" i="27"/>
  <c r="J48" i="27"/>
  <c r="L37" i="27"/>
  <c r="J66" i="27"/>
  <c r="J39" i="27"/>
  <c r="D88" i="27"/>
  <c r="D112" i="27"/>
  <c r="D83" i="27"/>
  <c r="D73" i="27"/>
  <c r="E9" i="27"/>
  <c r="E31" i="27"/>
  <c r="BQ268" i="27"/>
  <c r="D66" i="27"/>
  <c r="D39" i="27"/>
  <c r="H13" i="27"/>
  <c r="C43" i="27"/>
  <c r="H19" i="27"/>
  <c r="C107" i="27"/>
  <c r="C78" i="27"/>
  <c r="F8" i="27"/>
  <c r="C32" i="27"/>
  <c r="F19" i="27"/>
  <c r="F20" i="27" s="1"/>
  <c r="L32" i="27"/>
  <c r="D107" i="27"/>
  <c r="D78" i="27"/>
  <c r="J100" i="27"/>
  <c r="J62" i="27"/>
  <c r="E106" i="27"/>
  <c r="E77" i="27"/>
  <c r="E67" i="27"/>
  <c r="E68" i="27" s="1"/>
  <c r="E49" i="27"/>
  <c r="F38" i="27"/>
  <c r="C49" i="27"/>
  <c r="L60" i="27"/>
  <c r="D16" i="27"/>
  <c r="C15" i="27"/>
  <c r="C37" i="27"/>
  <c r="D100" i="27"/>
  <c r="D62" i="27"/>
  <c r="D101" i="27"/>
  <c r="J72" i="27"/>
  <c r="J44" i="27"/>
  <c r="L43" i="27"/>
  <c r="G60" i="27"/>
  <c r="G33" i="27"/>
  <c r="H38" i="27"/>
  <c r="F67" i="27"/>
  <c r="G107" i="27"/>
  <c r="G158" i="27" s="1"/>
  <c r="G175" i="27" s="1"/>
  <c r="G78" i="27"/>
  <c r="G118" i="27" s="1"/>
  <c r="G124" i="27" s="1"/>
  <c r="F13" i="27"/>
  <c r="F15" i="27" s="1"/>
  <c r="O270" i="27"/>
  <c r="P267" i="27"/>
  <c r="BQ267" i="27" s="1"/>
  <c r="L13" i="27"/>
  <c r="L38" i="27"/>
  <c r="G44" i="27"/>
  <c r="V216" i="27"/>
  <c r="V219" i="27" s="1"/>
  <c r="AC267" i="27"/>
  <c r="G112" i="27"/>
  <c r="G73" i="27"/>
  <c r="D49" i="27"/>
  <c r="F49" i="27" s="1"/>
  <c r="J67" i="27"/>
  <c r="G83" i="27"/>
  <c r="G84" i="27" s="1"/>
  <c r="AB270" i="27"/>
  <c r="F31" i="27"/>
  <c r="D33" i="27"/>
  <c r="V215" i="27"/>
  <c r="I230" i="27"/>
  <c r="H230" i="27" s="1"/>
  <c r="O231" i="27"/>
  <c r="N231" i="27" s="1"/>
  <c r="D229" i="27"/>
  <c r="C229" i="27" s="1"/>
  <c r="I270" i="27"/>
  <c r="N229" i="27"/>
  <c r="M229" i="27" s="1"/>
  <c r="D248" i="27"/>
  <c r="C248" i="27" s="1"/>
  <c r="J4" i="20"/>
  <c r="AV90" i="30" l="1"/>
  <c r="BT89" i="30"/>
  <c r="BU89" i="30" s="1"/>
  <c r="BP89" i="30"/>
  <c r="BK90" i="30"/>
  <c r="BF111" i="22"/>
  <c r="AS111" i="22"/>
  <c r="V107" i="22"/>
  <c r="BF121" i="22"/>
  <c r="B86" i="30"/>
  <c r="C87" i="30"/>
  <c r="C88" i="30" s="1"/>
  <c r="AI98" i="30"/>
  <c r="AD34" i="4"/>
  <c r="AD7" i="4"/>
  <c r="W34" i="4"/>
  <c r="W7" i="4"/>
  <c r="AY123" i="22"/>
  <c r="AZ123" i="22" s="1"/>
  <c r="BA123" i="22" s="1"/>
  <c r="BB123" i="22" s="1"/>
  <c r="BC123" i="22" s="1"/>
  <c r="BD123" i="22" s="1"/>
  <c r="BE123" i="22" s="1"/>
  <c r="BG123" i="22" s="1"/>
  <c r="BH123" i="22" s="1"/>
  <c r="BI123" i="22" s="1"/>
  <c r="BJ123" i="22" s="1"/>
  <c r="BK123" i="22" s="1"/>
  <c r="BI121" i="22"/>
  <c r="D68" i="4"/>
  <c r="AQ87" i="30"/>
  <c r="AQ88" i="30" s="1"/>
  <c r="AL87" i="30"/>
  <c r="AL88" i="30" s="1"/>
  <c r="M7" i="27"/>
  <c r="N7" i="27" s="1"/>
  <c r="Q7" i="27"/>
  <c r="R7" i="27" s="1"/>
  <c r="W87" i="30"/>
  <c r="W88" i="30" s="1"/>
  <c r="AG89" i="30"/>
  <c r="AB89" i="30"/>
  <c r="AC99" i="30" s="1"/>
  <c r="R89" i="30"/>
  <c r="L86" i="30"/>
  <c r="Q86" i="30" s="1"/>
  <c r="V86" i="30" s="1"/>
  <c r="AA86" i="30" s="1"/>
  <c r="AF86" i="30" s="1"/>
  <c r="AK86" i="30" s="1"/>
  <c r="AP86" i="30" s="1"/>
  <c r="AU86" i="30" s="1"/>
  <c r="AZ86" i="30" s="1"/>
  <c r="BE86" i="30" s="1"/>
  <c r="BJ86" i="30" s="1"/>
  <c r="BO86" i="30" s="1"/>
  <c r="BT86" i="30" s="1"/>
  <c r="M87" i="30"/>
  <c r="M88" i="30" s="1"/>
  <c r="H87" i="30"/>
  <c r="H88" i="30" s="1"/>
  <c r="G86" i="30"/>
  <c r="BO102" i="29"/>
  <c r="L9" i="27"/>
  <c r="L33" i="27"/>
  <c r="G14" i="29"/>
  <c r="G46" i="29"/>
  <c r="M14" i="27"/>
  <c r="N14" i="27" s="1"/>
  <c r="S14" i="27" s="1"/>
  <c r="G62" i="29"/>
  <c r="R50" i="29"/>
  <c r="Q46" i="29" s="1"/>
  <c r="M19" i="27"/>
  <c r="N19" i="27" s="1"/>
  <c r="BO99" i="29"/>
  <c r="Q33" i="29"/>
  <c r="Q34" i="29" s="1"/>
  <c r="R34" i="29"/>
  <c r="Q30" i="29" s="1"/>
  <c r="V32" i="29"/>
  <c r="V16" i="29"/>
  <c r="V48" i="29"/>
  <c r="AA84" i="29"/>
  <c r="V64" i="29"/>
  <c r="C251" i="27"/>
  <c r="Q19" i="27"/>
  <c r="R19" i="27" s="1"/>
  <c r="R20" i="27" s="1"/>
  <c r="Q8" i="27"/>
  <c r="R8" i="27" s="1"/>
  <c r="M8" i="27"/>
  <c r="N8" i="27" s="1"/>
  <c r="M66" i="29"/>
  <c r="L62" i="29" s="1"/>
  <c r="B49" i="29"/>
  <c r="B50" i="29" s="1"/>
  <c r="C50" i="29"/>
  <c r="B46" i="29" s="1"/>
  <c r="BF113" i="22"/>
  <c r="BH113" i="22"/>
  <c r="BI113" i="22" s="1"/>
  <c r="BJ113" i="22" s="1"/>
  <c r="BK113" i="22" s="1"/>
  <c r="BL113" i="22" s="1"/>
  <c r="BM113" i="22" s="1"/>
  <c r="BN113" i="22" s="1"/>
  <c r="BO113" i="22" s="1"/>
  <c r="BP113" i="22" s="1"/>
  <c r="BQ113" i="22" s="1"/>
  <c r="BR113" i="22" s="1"/>
  <c r="BT113" i="22" s="1"/>
  <c r="BF120" i="22"/>
  <c r="BF116" i="22"/>
  <c r="BS111" i="22"/>
  <c r="BF114" i="22"/>
  <c r="BF122" i="22"/>
  <c r="I126" i="22"/>
  <c r="I107" i="22" s="1"/>
  <c r="BH116" i="22"/>
  <c r="BI116" i="22" s="1"/>
  <c r="BJ116" i="22" s="1"/>
  <c r="BK116" i="22" s="1"/>
  <c r="BL116" i="22" s="1"/>
  <c r="BM116" i="22" s="1"/>
  <c r="BN116" i="22" s="1"/>
  <c r="BO116" i="22" s="1"/>
  <c r="BP116" i="22" s="1"/>
  <c r="BQ116" i="22" s="1"/>
  <c r="BR116" i="22" s="1"/>
  <c r="BT116" i="22" s="1"/>
  <c r="BH118" i="22"/>
  <c r="BI118" i="22" s="1"/>
  <c r="BJ118" i="22" s="1"/>
  <c r="BK118" i="22" s="1"/>
  <c r="BL118" i="22" s="1"/>
  <c r="BM118" i="22" s="1"/>
  <c r="BN118" i="22" s="1"/>
  <c r="BO118" i="22" s="1"/>
  <c r="BP118" i="22" s="1"/>
  <c r="BQ118" i="22" s="1"/>
  <c r="BR118" i="22" s="1"/>
  <c r="BT118" i="22" s="1"/>
  <c r="BH114" i="22"/>
  <c r="BI114" i="22" s="1"/>
  <c r="BJ114" i="22" s="1"/>
  <c r="BK114" i="22" s="1"/>
  <c r="BL114" i="22" s="1"/>
  <c r="BM114" i="22" s="1"/>
  <c r="BN114" i="22" s="1"/>
  <c r="BO114" i="22" s="1"/>
  <c r="BP114" i="22" s="1"/>
  <c r="BQ114" i="22" s="1"/>
  <c r="BR114" i="22" s="1"/>
  <c r="BT114" i="22" s="1"/>
  <c r="BH122" i="22"/>
  <c r="BI122" i="22" s="1"/>
  <c r="BJ122" i="22" s="1"/>
  <c r="BK122" i="22" s="1"/>
  <c r="BL122" i="22" s="1"/>
  <c r="BM122" i="22" s="1"/>
  <c r="BN122" i="22" s="1"/>
  <c r="BO122" i="22" s="1"/>
  <c r="BP122" i="22" s="1"/>
  <c r="BQ122" i="22" s="1"/>
  <c r="BR122" i="22" s="1"/>
  <c r="BT122" i="22" s="1"/>
  <c r="BH120" i="22"/>
  <c r="BI120" i="22" s="1"/>
  <c r="BJ120" i="22" s="1"/>
  <c r="BK120" i="22" s="1"/>
  <c r="BL120" i="22" s="1"/>
  <c r="BM120" i="22" s="1"/>
  <c r="BN120" i="22" s="1"/>
  <c r="BO120" i="22" s="1"/>
  <c r="BP120" i="22" s="1"/>
  <c r="BQ120" i="22" s="1"/>
  <c r="BR120" i="22" s="1"/>
  <c r="BT120" i="22" s="1"/>
  <c r="BU111" i="22"/>
  <c r="BV111" i="22" s="1"/>
  <c r="BW111" i="22" s="1"/>
  <c r="BX111" i="22" s="1"/>
  <c r="BY111" i="22" s="1"/>
  <c r="BZ111" i="22" s="1"/>
  <c r="CA111" i="22" s="1"/>
  <c r="CB111" i="22" s="1"/>
  <c r="CC111" i="22" s="1"/>
  <c r="CD111" i="22" s="1"/>
  <c r="CE111" i="22" s="1"/>
  <c r="U126" i="22"/>
  <c r="BF118" i="22"/>
  <c r="L14" i="29"/>
  <c r="Q18" i="29"/>
  <c r="R18" i="29"/>
  <c r="B14" i="29"/>
  <c r="C253" i="27"/>
  <c r="E253" i="27" s="1"/>
  <c r="H232" i="27"/>
  <c r="C234" i="27"/>
  <c r="E234" i="27" s="1"/>
  <c r="H250" i="27"/>
  <c r="H252" i="27" s="1"/>
  <c r="J107" i="27"/>
  <c r="J78" i="27"/>
  <c r="L67" i="27"/>
  <c r="L15" i="27"/>
  <c r="M13" i="27"/>
  <c r="Q13" i="27"/>
  <c r="R13" i="27" s="1"/>
  <c r="R15" i="27" s="1"/>
  <c r="C118" i="27"/>
  <c r="D34" i="27"/>
  <c r="H234" i="27"/>
  <c r="J234" i="27" s="1"/>
  <c r="D151" i="27"/>
  <c r="D102" i="27"/>
  <c r="C158" i="27"/>
  <c r="M61" i="27"/>
  <c r="G48" i="27"/>
  <c r="G50" i="27" s="1"/>
  <c r="G66" i="27"/>
  <c r="G39" i="27"/>
  <c r="L48" i="27"/>
  <c r="J50" i="27"/>
  <c r="Q38" i="27"/>
  <c r="R38" i="27" s="1"/>
  <c r="M38" i="27"/>
  <c r="N38" i="27" s="1"/>
  <c r="E157" i="27"/>
  <c r="D84" i="27"/>
  <c r="J102" i="27"/>
  <c r="L100" i="27"/>
  <c r="J151" i="27"/>
  <c r="H15" i="27"/>
  <c r="D113" i="27"/>
  <c r="D163" i="27"/>
  <c r="D134" i="27"/>
  <c r="D129" i="27"/>
  <c r="D50" i="27"/>
  <c r="E117" i="27"/>
  <c r="G134" i="27"/>
  <c r="G129" i="27"/>
  <c r="G130" i="27" s="1"/>
  <c r="G163" i="27"/>
  <c r="G164" i="27" s="1"/>
  <c r="G113" i="27"/>
  <c r="C66" i="27"/>
  <c r="C39" i="27"/>
  <c r="H37" i="27"/>
  <c r="C48" i="27"/>
  <c r="C72" i="27"/>
  <c r="H43" i="27"/>
  <c r="C44" i="27"/>
  <c r="D45" i="27" s="1"/>
  <c r="M231" i="27"/>
  <c r="M233" i="27" s="1"/>
  <c r="G100" i="27"/>
  <c r="G62" i="27"/>
  <c r="M60" i="27"/>
  <c r="L62" i="27"/>
  <c r="F43" i="27"/>
  <c r="F44" i="27" s="1"/>
  <c r="D89" i="27"/>
  <c r="H31" i="27"/>
  <c r="C60" i="27"/>
  <c r="C33" i="27"/>
  <c r="E112" i="27"/>
  <c r="E83" i="27"/>
  <c r="E84" i="27" s="1"/>
  <c r="E73" i="27"/>
  <c r="E88" i="27"/>
  <c r="E89" i="27" s="1"/>
  <c r="H32" i="27"/>
  <c r="C61" i="27"/>
  <c r="F32" i="27"/>
  <c r="F33" i="27" s="1"/>
  <c r="H49" i="27"/>
  <c r="D118" i="27"/>
  <c r="F78" i="27"/>
  <c r="F37" i="27"/>
  <c r="F39" i="27" s="1"/>
  <c r="F107" i="27"/>
  <c r="D158" i="27"/>
  <c r="D40" i="27"/>
  <c r="J77" i="27"/>
  <c r="J68" i="27"/>
  <c r="J106" i="27"/>
  <c r="L66" i="27"/>
  <c r="M49" i="27"/>
  <c r="N49" i="27" s="1"/>
  <c r="E107" i="27"/>
  <c r="E158" i="27" s="1"/>
  <c r="E175" i="27" s="1"/>
  <c r="E78" i="27"/>
  <c r="E118" i="27" s="1"/>
  <c r="E124" i="27" s="1"/>
  <c r="L101" i="27"/>
  <c r="J152" i="27"/>
  <c r="E33" i="27"/>
  <c r="E60" i="27"/>
  <c r="H20" i="27"/>
  <c r="L44" i="27"/>
  <c r="M43" i="27"/>
  <c r="Q43" i="27"/>
  <c r="Q49" i="27"/>
  <c r="C233" i="27"/>
  <c r="D236" i="27"/>
  <c r="H67" i="27"/>
  <c r="J88" i="27"/>
  <c r="J112" i="27"/>
  <c r="J73" i="27"/>
  <c r="L72" i="27"/>
  <c r="J83" i="27"/>
  <c r="Q32" i="27"/>
  <c r="M32" i="27"/>
  <c r="D68" i="27"/>
  <c r="D106" i="27"/>
  <c r="D77" i="27"/>
  <c r="F66" i="27"/>
  <c r="F68" i="27" s="1"/>
  <c r="Q37" i="27"/>
  <c r="L39" i="27"/>
  <c r="M37" i="27"/>
  <c r="F9" i="27"/>
  <c r="F21" i="27" s="1"/>
  <c r="D152" i="27"/>
  <c r="BP90" i="30" l="1"/>
  <c r="BU90" i="30"/>
  <c r="R34" i="4"/>
  <c r="Q34" i="4"/>
  <c r="K34" i="4"/>
  <c r="W107" i="22"/>
  <c r="BF123" i="22"/>
  <c r="C89" i="30"/>
  <c r="AV100" i="30"/>
  <c r="AW7" i="4"/>
  <c r="AI100" i="30"/>
  <c r="AJ7" i="4"/>
  <c r="BI100" i="30"/>
  <c r="BJ7" i="4"/>
  <c r="AP98" i="30"/>
  <c r="AL98" i="30"/>
  <c r="Z34" i="4"/>
  <c r="Z7" i="4"/>
  <c r="AD26" i="4"/>
  <c r="W26" i="4"/>
  <c r="M7" i="4"/>
  <c r="M98" i="4" s="1"/>
  <c r="R9" i="27"/>
  <c r="S7" i="27"/>
  <c r="BL123" i="22"/>
  <c r="BM123" i="22" s="1"/>
  <c r="BN123" i="22" s="1"/>
  <c r="BO123" i="22" s="1"/>
  <c r="BP123" i="22" s="1"/>
  <c r="BQ123" i="22" s="1"/>
  <c r="BR123" i="22" s="1"/>
  <c r="BT123" i="22" s="1"/>
  <c r="BU123" i="22" s="1"/>
  <c r="BJ121" i="22"/>
  <c r="BK121" i="22" s="1"/>
  <c r="BL121" i="22" s="1"/>
  <c r="BM121" i="22" s="1"/>
  <c r="BN121" i="22" s="1"/>
  <c r="BO121" i="22" s="1"/>
  <c r="BP121" i="22" s="1"/>
  <c r="E68" i="4"/>
  <c r="AB90" i="30"/>
  <c r="AQ89" i="30"/>
  <c r="AL89" i="30"/>
  <c r="R90" i="30"/>
  <c r="W89" i="30"/>
  <c r="AQ100" i="30"/>
  <c r="AR34" i="4" s="1"/>
  <c r="AE34" i="4"/>
  <c r="S34" i="4"/>
  <c r="M89" i="30"/>
  <c r="H89" i="30"/>
  <c r="H100" i="30"/>
  <c r="I34" i="4" s="1"/>
  <c r="AG90" i="30"/>
  <c r="S8" i="27"/>
  <c r="S9" i="27" s="1"/>
  <c r="M9" i="27"/>
  <c r="H84" i="29"/>
  <c r="H85" i="29" s="1"/>
  <c r="H86" i="29" s="1"/>
  <c r="M95" i="29" s="1"/>
  <c r="N9" i="27"/>
  <c r="M20" i="27"/>
  <c r="AA32" i="29"/>
  <c r="AA64" i="29"/>
  <c r="AA48" i="29"/>
  <c r="AA16" i="29"/>
  <c r="AF84" i="29"/>
  <c r="H251" i="27"/>
  <c r="W34" i="29"/>
  <c r="V30" i="29" s="1"/>
  <c r="V33" i="29"/>
  <c r="V34" i="29" s="1"/>
  <c r="V49" i="29"/>
  <c r="V50" i="29" s="1"/>
  <c r="W50" i="29"/>
  <c r="V46" i="29" s="1"/>
  <c r="V17" i="29"/>
  <c r="V18" i="29" s="1"/>
  <c r="W18" i="29"/>
  <c r="M84" i="29"/>
  <c r="M85" i="29" s="1"/>
  <c r="M86" i="29" s="1"/>
  <c r="Q95" i="29" s="1"/>
  <c r="V65" i="29"/>
  <c r="V66" i="29" s="1"/>
  <c r="W66" i="29"/>
  <c r="V62" i="29" s="1"/>
  <c r="R84" i="29"/>
  <c r="C84" i="29"/>
  <c r="C85" i="29" s="1"/>
  <c r="C86" i="29" s="1"/>
  <c r="J95" i="29" s="1"/>
  <c r="J98" i="29" s="1"/>
  <c r="BS113" i="22"/>
  <c r="BU113" i="22"/>
  <c r="BV113" i="22" s="1"/>
  <c r="BW113" i="22" s="1"/>
  <c r="BX113" i="22" s="1"/>
  <c r="BY113" i="22" s="1"/>
  <c r="BZ113" i="22" s="1"/>
  <c r="CA113" i="22" s="1"/>
  <c r="CB113" i="22" s="1"/>
  <c r="CC113" i="22" s="1"/>
  <c r="CD113" i="22" s="1"/>
  <c r="CE113" i="22" s="1"/>
  <c r="BS116" i="22"/>
  <c r="BS120" i="22"/>
  <c r="BS118" i="22"/>
  <c r="CF111" i="22"/>
  <c r="BU118" i="22"/>
  <c r="BV118" i="22" s="1"/>
  <c r="BW118" i="22" s="1"/>
  <c r="BX118" i="22" s="1"/>
  <c r="BY118" i="22" s="1"/>
  <c r="BZ118" i="22" s="1"/>
  <c r="CA118" i="22" s="1"/>
  <c r="CB118" i="22" s="1"/>
  <c r="CC118" i="22" s="1"/>
  <c r="CD118" i="22" s="1"/>
  <c r="CE118" i="22" s="1"/>
  <c r="BU116" i="22"/>
  <c r="BV116" i="22" s="1"/>
  <c r="BW116" i="22" s="1"/>
  <c r="BX116" i="22" s="1"/>
  <c r="BY116" i="22" s="1"/>
  <c r="BZ116" i="22" s="1"/>
  <c r="CA116" i="22" s="1"/>
  <c r="CB116" i="22" s="1"/>
  <c r="CC116" i="22" s="1"/>
  <c r="CD116" i="22" s="1"/>
  <c r="CE116" i="22" s="1"/>
  <c r="BS122" i="22"/>
  <c r="J126" i="22"/>
  <c r="J107" i="22" s="1"/>
  <c r="V126" i="22"/>
  <c r="BU122" i="22"/>
  <c r="BV122" i="22" s="1"/>
  <c r="BW122" i="22" s="1"/>
  <c r="BX122" i="22" s="1"/>
  <c r="BY122" i="22" s="1"/>
  <c r="BZ122" i="22" s="1"/>
  <c r="CA122" i="22" s="1"/>
  <c r="CB122" i="22" s="1"/>
  <c r="CC122" i="22" s="1"/>
  <c r="CD122" i="22" s="1"/>
  <c r="CE122" i="22" s="1"/>
  <c r="BU120" i="22"/>
  <c r="BV120" i="22" s="1"/>
  <c r="BW120" i="22" s="1"/>
  <c r="BX120" i="22" s="1"/>
  <c r="BY120" i="22" s="1"/>
  <c r="BZ120" i="22" s="1"/>
  <c r="CA120" i="22" s="1"/>
  <c r="CB120" i="22" s="1"/>
  <c r="CC120" i="22" s="1"/>
  <c r="CD120" i="22" s="1"/>
  <c r="CE120" i="22" s="1"/>
  <c r="BS114" i="22"/>
  <c r="BU114" i="22"/>
  <c r="BV114" i="22" s="1"/>
  <c r="BW114" i="22" s="1"/>
  <c r="BX114" i="22" s="1"/>
  <c r="BY114" i="22" s="1"/>
  <c r="BZ114" i="22" s="1"/>
  <c r="CA114" i="22" s="1"/>
  <c r="CB114" i="22" s="1"/>
  <c r="CC114" i="22" s="1"/>
  <c r="CD114" i="22" s="1"/>
  <c r="CE114" i="22" s="1"/>
  <c r="Q14" i="29"/>
  <c r="H253" i="27"/>
  <c r="J253" i="27" s="1"/>
  <c r="G106" i="27"/>
  <c r="G77" i="27"/>
  <c r="G68" i="27"/>
  <c r="D130" i="27"/>
  <c r="D169" i="27"/>
  <c r="L73" i="27"/>
  <c r="M72" i="27"/>
  <c r="R32" i="27"/>
  <c r="M62" i="27"/>
  <c r="N60" i="27"/>
  <c r="D139" i="27"/>
  <c r="D135" i="27"/>
  <c r="N61" i="27"/>
  <c r="E62" i="27"/>
  <c r="E100" i="27"/>
  <c r="D164" i="27"/>
  <c r="C124" i="27"/>
  <c r="H124" i="27" s="1"/>
  <c r="H118" i="27"/>
  <c r="M39" i="27"/>
  <c r="N37" i="27"/>
  <c r="J113" i="27"/>
  <c r="L112" i="27"/>
  <c r="J139" i="27"/>
  <c r="J134" i="27"/>
  <c r="J129" i="27"/>
  <c r="J163" i="27"/>
  <c r="C106" i="27"/>
  <c r="C77" i="27"/>
  <c r="H66" i="27"/>
  <c r="C68" i="27"/>
  <c r="D69" i="27" s="1"/>
  <c r="E108" i="27"/>
  <c r="H78" i="27"/>
  <c r="J84" i="27"/>
  <c r="L83" i="27"/>
  <c r="J79" i="27"/>
  <c r="J117" i="27"/>
  <c r="L77" i="27"/>
  <c r="H48" i="27"/>
  <c r="C50" i="27"/>
  <c r="F48" i="27"/>
  <c r="F50" i="27" s="1"/>
  <c r="F51" i="27" s="1"/>
  <c r="R37" i="27"/>
  <c r="R39" i="27" s="1"/>
  <c r="H39" i="27"/>
  <c r="D175" i="27"/>
  <c r="F158" i="27"/>
  <c r="E174" i="27"/>
  <c r="E176" i="27" s="1"/>
  <c r="E159" i="27"/>
  <c r="J89" i="27"/>
  <c r="L88" i="27"/>
  <c r="L152" i="27"/>
  <c r="J169" i="27"/>
  <c r="G102" i="27"/>
  <c r="G151" i="27"/>
  <c r="S38" i="27"/>
  <c r="H107" i="27"/>
  <c r="D79" i="27"/>
  <c r="F77" i="27"/>
  <c r="F79" i="27" s="1"/>
  <c r="D117" i="27"/>
  <c r="D124" i="27"/>
  <c r="F118" i="27"/>
  <c r="C100" i="27"/>
  <c r="H60" i="27"/>
  <c r="C62" i="27"/>
  <c r="F60" i="27"/>
  <c r="M234" i="27"/>
  <c r="O234" i="27" s="1"/>
  <c r="G139" i="27"/>
  <c r="G135" i="27"/>
  <c r="M100" i="27"/>
  <c r="L102" i="27"/>
  <c r="J158" i="27"/>
  <c r="L107" i="27"/>
  <c r="D108" i="27"/>
  <c r="F106" i="27"/>
  <c r="F108" i="27" s="1"/>
  <c r="D157" i="27"/>
  <c r="R49" i="27"/>
  <c r="S49" i="27" s="1"/>
  <c r="H33" i="27"/>
  <c r="Q31" i="27"/>
  <c r="R31" i="27" s="1"/>
  <c r="E79" i="27"/>
  <c r="M101" i="27"/>
  <c r="E163" i="27"/>
  <c r="E164" i="27" s="1"/>
  <c r="E134" i="27"/>
  <c r="E129" i="27"/>
  <c r="E130" i="27" s="1"/>
  <c r="E113" i="27"/>
  <c r="M15" i="27"/>
  <c r="N13" i="27"/>
  <c r="L68" i="27"/>
  <c r="M66" i="27"/>
  <c r="R43" i="27"/>
  <c r="R44" i="27" s="1"/>
  <c r="H44" i="27"/>
  <c r="E123" i="27"/>
  <c r="E125" i="27" s="1"/>
  <c r="E119" i="27"/>
  <c r="Q48" i="27"/>
  <c r="L50" i="27"/>
  <c r="M48" i="27"/>
  <c r="D153" i="27"/>
  <c r="D168" i="27"/>
  <c r="Q67" i="27"/>
  <c r="R67" i="27" s="1"/>
  <c r="M67" i="27"/>
  <c r="N67" i="27" s="1"/>
  <c r="C101" i="27"/>
  <c r="H61" i="27"/>
  <c r="F61" i="27"/>
  <c r="C175" i="27"/>
  <c r="H175" i="27" s="1"/>
  <c r="H158" i="27"/>
  <c r="M232" i="27"/>
  <c r="J153" i="27"/>
  <c r="L151" i="27"/>
  <c r="J168" i="27"/>
  <c r="N32" i="27"/>
  <c r="M33" i="27"/>
  <c r="M44" i="27"/>
  <c r="N43" i="27"/>
  <c r="L106" i="27"/>
  <c r="J157" i="27"/>
  <c r="J108" i="27"/>
  <c r="C73" i="27"/>
  <c r="D74" i="27" s="1"/>
  <c r="C88" i="27"/>
  <c r="C112" i="27"/>
  <c r="C83" i="27"/>
  <c r="H72" i="27"/>
  <c r="Q72" i="27" s="1"/>
  <c r="F72" i="27"/>
  <c r="F73" i="27" s="1"/>
  <c r="N20" i="27"/>
  <c r="S19" i="27"/>
  <c r="S20" i="27" s="1"/>
  <c r="L78" i="27"/>
  <c r="J118" i="27"/>
  <c r="T26" i="4" l="1"/>
  <c r="R7" i="4"/>
  <c r="L26" i="4"/>
  <c r="K7" i="4"/>
  <c r="X107" i="22"/>
  <c r="J26" i="4"/>
  <c r="M26" i="4"/>
  <c r="Q26" i="4"/>
  <c r="R26" i="4"/>
  <c r="S26" i="4"/>
  <c r="O26" i="4"/>
  <c r="O7" i="4"/>
  <c r="L7" i="4"/>
  <c r="AO98" i="30"/>
  <c r="M34" i="4"/>
  <c r="O98" i="30"/>
  <c r="BB98" i="30"/>
  <c r="Q7" i="4"/>
  <c r="N26" i="4"/>
  <c r="AB98" i="30"/>
  <c r="N7" i="4"/>
  <c r="N34" i="4"/>
  <c r="C90" i="30"/>
  <c r="BS123" i="22"/>
  <c r="J7" i="4"/>
  <c r="BJ26" i="4"/>
  <c r="AJ26" i="4"/>
  <c r="AW34" i="4"/>
  <c r="AJ34" i="4"/>
  <c r="BN100" i="30"/>
  <c r="BO34" i="4" s="1"/>
  <c r="BO7" i="4"/>
  <c r="AP100" i="30"/>
  <c r="AQ7" i="4"/>
  <c r="BC100" i="30"/>
  <c r="BD7" i="4"/>
  <c r="BO98" i="30"/>
  <c r="BL100" i="30"/>
  <c r="BM7" i="4"/>
  <c r="AY100" i="30"/>
  <c r="AZ7" i="4"/>
  <c r="AL100" i="30"/>
  <c r="AO100" i="30" s="1"/>
  <c r="AM7" i="4"/>
  <c r="BJ34" i="4"/>
  <c r="AW26" i="4"/>
  <c r="AQ90" i="30"/>
  <c r="AL90" i="30"/>
  <c r="Z26" i="4"/>
  <c r="BV123" i="22"/>
  <c r="BW123" i="22" s="1"/>
  <c r="BX123" i="22" s="1"/>
  <c r="BY123" i="22" s="1"/>
  <c r="BZ123" i="22" s="1"/>
  <c r="CA123" i="22" s="1"/>
  <c r="BQ121" i="22"/>
  <c r="BR121" i="22" s="1"/>
  <c r="F68" i="4"/>
  <c r="U100" i="30"/>
  <c r="V34" i="4" s="1"/>
  <c r="O34" i="4"/>
  <c r="L34" i="4"/>
  <c r="W90" i="30"/>
  <c r="M90" i="30"/>
  <c r="H90" i="30"/>
  <c r="V234" i="27"/>
  <c r="V235" i="27" s="1"/>
  <c r="V210" i="27"/>
  <c r="V232" i="27" s="1"/>
  <c r="AF32" i="29"/>
  <c r="AF48" i="29"/>
  <c r="AF64" i="29"/>
  <c r="AF16" i="29"/>
  <c r="AA65" i="29"/>
  <c r="AA66" i="29" s="1"/>
  <c r="AB66" i="29"/>
  <c r="AA62" i="29" s="1"/>
  <c r="W84" i="29"/>
  <c r="W85" i="29" s="1"/>
  <c r="W86" i="29" s="1"/>
  <c r="V14" i="29"/>
  <c r="AA49" i="29"/>
  <c r="AA50" i="29" s="1"/>
  <c r="AB50" i="29"/>
  <c r="AA46" i="29" s="1"/>
  <c r="AA17" i="29"/>
  <c r="AA18" i="29" s="1"/>
  <c r="AB18" i="29"/>
  <c r="AB34" i="29"/>
  <c r="AA30" i="29" s="1"/>
  <c r="AA33" i="29"/>
  <c r="AA34" i="29" s="1"/>
  <c r="M87" i="29"/>
  <c r="C87" i="29"/>
  <c r="J96" i="29" s="1"/>
  <c r="H87" i="29"/>
  <c r="M96" i="29" s="1"/>
  <c r="CF113" i="22"/>
  <c r="CF114" i="22"/>
  <c r="CF116" i="22"/>
  <c r="W126" i="22"/>
  <c r="K126" i="22"/>
  <c r="K107" i="22" s="1"/>
  <c r="CF122" i="22"/>
  <c r="CF118" i="22"/>
  <c r="CF120" i="22"/>
  <c r="R85" i="29"/>
  <c r="R86" i="29" s="1"/>
  <c r="T95" i="29" s="1"/>
  <c r="R33" i="27"/>
  <c r="S31" i="27"/>
  <c r="H88" i="27"/>
  <c r="C89" i="27"/>
  <c r="F88" i="27"/>
  <c r="F89" i="27" s="1"/>
  <c r="H68" i="27"/>
  <c r="C152" i="27"/>
  <c r="H101" i="27"/>
  <c r="F101" i="27"/>
  <c r="C117" i="27"/>
  <c r="F117" i="27" s="1"/>
  <c r="F119" i="27" s="1"/>
  <c r="H77" i="27"/>
  <c r="C79" i="27"/>
  <c r="S67" i="27"/>
  <c r="M68" i="27"/>
  <c r="N66" i="27"/>
  <c r="BD269" i="27"/>
  <c r="AR269" i="27"/>
  <c r="AR271" i="27" s="1"/>
  <c r="AF269" i="27"/>
  <c r="AF271" i="27" s="1"/>
  <c r="T269" i="27"/>
  <c r="T271" i="27" s="1"/>
  <c r="H269" i="27"/>
  <c r="H271" i="27" s="1"/>
  <c r="BO269" i="27"/>
  <c r="BO271" i="27" s="1"/>
  <c r="AQ269" i="27"/>
  <c r="AE269" i="27"/>
  <c r="AE271" i="27" s="1"/>
  <c r="S269" i="27"/>
  <c r="S271" i="27" s="1"/>
  <c r="G269" i="27"/>
  <c r="G271" i="27" s="1"/>
  <c r="BM269" i="27"/>
  <c r="BM271" i="27" s="1"/>
  <c r="BA269" i="27"/>
  <c r="BA271" i="27" s="1"/>
  <c r="AO269" i="27"/>
  <c r="AO271" i="27" s="1"/>
  <c r="Q269" i="27"/>
  <c r="E269" i="27"/>
  <c r="E271" i="27" s="1"/>
  <c r="BK269" i="27"/>
  <c r="BK271" i="27" s="1"/>
  <c r="AY269" i="27"/>
  <c r="AY271" i="27" s="1"/>
  <c r="AM269" i="27"/>
  <c r="AM271" i="27" s="1"/>
  <c r="AA269" i="27"/>
  <c r="AA271" i="27" s="1"/>
  <c r="BJ269" i="27"/>
  <c r="BJ271" i="27" s="1"/>
  <c r="AX269" i="27"/>
  <c r="AX271" i="27" s="1"/>
  <c r="AL269" i="27"/>
  <c r="AL271" i="27" s="1"/>
  <c r="Z269" i="27"/>
  <c r="Z271" i="27" s="1"/>
  <c r="N269" i="27"/>
  <c r="N271" i="27" s="1"/>
  <c r="BI269" i="27"/>
  <c r="BI271" i="27" s="1"/>
  <c r="AW269" i="27"/>
  <c r="AW271" i="27" s="1"/>
  <c r="AK269" i="27"/>
  <c r="AK271" i="27" s="1"/>
  <c r="Y269" i="27"/>
  <c r="Y271" i="27" s="1"/>
  <c r="M269" i="27"/>
  <c r="M271" i="27" s="1"/>
  <c r="BH269" i="27"/>
  <c r="BH271" i="27" s="1"/>
  <c r="AV269" i="27"/>
  <c r="AV271" i="27" s="1"/>
  <c r="AJ269" i="27"/>
  <c r="AJ271" i="27" s="1"/>
  <c r="X269" i="27"/>
  <c r="X271" i="27" s="1"/>
  <c r="L269" i="27"/>
  <c r="L271" i="27" s="1"/>
  <c r="BG269" i="27"/>
  <c r="BG271" i="27" s="1"/>
  <c r="AU269" i="27"/>
  <c r="AU271" i="27" s="1"/>
  <c r="W269" i="27"/>
  <c r="W271" i="27" s="1"/>
  <c r="K269" i="27"/>
  <c r="K271" i="27" s="1"/>
  <c r="BF269" i="27"/>
  <c r="BF271" i="27" s="1"/>
  <c r="AT269" i="27"/>
  <c r="AT271" i="27" s="1"/>
  <c r="AH269" i="27"/>
  <c r="AH271" i="27" s="1"/>
  <c r="J269" i="27"/>
  <c r="J271" i="27" s="1"/>
  <c r="AD269" i="27"/>
  <c r="U269" i="27"/>
  <c r="U271" i="27" s="1"/>
  <c r="BN269" i="27"/>
  <c r="BN271" i="27" s="1"/>
  <c r="R269" i="27"/>
  <c r="R271" i="27" s="1"/>
  <c r="BL269" i="27"/>
  <c r="BL271" i="27" s="1"/>
  <c r="BE269" i="27"/>
  <c r="BE271" i="27" s="1"/>
  <c r="I269" i="27"/>
  <c r="I271" i="27" s="1"/>
  <c r="BB269" i="27"/>
  <c r="BB271" i="27" s="1"/>
  <c r="F269" i="27"/>
  <c r="F271" i="27" s="1"/>
  <c r="AZ269" i="27"/>
  <c r="AZ271" i="27" s="1"/>
  <c r="D269" i="27"/>
  <c r="AS269" i="27"/>
  <c r="AS271" i="27" s="1"/>
  <c r="AN269" i="27"/>
  <c r="AN271" i="27" s="1"/>
  <c r="AG269" i="27"/>
  <c r="AG271" i="27" s="1"/>
  <c r="AB269" i="27"/>
  <c r="AB271" i="27" s="1"/>
  <c r="V269" i="27"/>
  <c r="V271" i="27" s="1"/>
  <c r="O269" i="27"/>
  <c r="O271" i="27" s="1"/>
  <c r="AI269" i="27"/>
  <c r="AI271" i="27" s="1"/>
  <c r="D63" i="27"/>
  <c r="L169" i="27"/>
  <c r="J186" i="27"/>
  <c r="L186" i="27" s="1"/>
  <c r="H50" i="27"/>
  <c r="R48" i="27"/>
  <c r="R50" i="27" s="1"/>
  <c r="H106" i="27"/>
  <c r="C108" i="27"/>
  <c r="D109" i="27" s="1"/>
  <c r="C157" i="27"/>
  <c r="J124" i="27"/>
  <c r="L124" i="27" s="1"/>
  <c r="L118" i="27"/>
  <c r="Q78" i="27"/>
  <c r="R78" i="27" s="1"/>
  <c r="M78" i="27"/>
  <c r="N78" i="27" s="1"/>
  <c r="F62" i="27"/>
  <c r="Q66" i="27"/>
  <c r="R66" i="27" s="1"/>
  <c r="R68" i="27" s="1"/>
  <c r="H62" i="27"/>
  <c r="Q60" i="27"/>
  <c r="R60" i="27" s="1"/>
  <c r="M152" i="27"/>
  <c r="N152" i="27" s="1"/>
  <c r="Q77" i="27"/>
  <c r="M77" i="27"/>
  <c r="L79" i="27"/>
  <c r="J164" i="27"/>
  <c r="L163" i="27"/>
  <c r="E151" i="27"/>
  <c r="E102" i="27"/>
  <c r="Q106" i="27"/>
  <c r="L108" i="27"/>
  <c r="M106" i="27"/>
  <c r="M73" i="27"/>
  <c r="N72" i="27"/>
  <c r="S32" i="27"/>
  <c r="N33" i="27"/>
  <c r="J130" i="27"/>
  <c r="L129" i="27"/>
  <c r="M107" i="27"/>
  <c r="N107" i="27" s="1"/>
  <c r="Q107" i="27"/>
  <c r="R107" i="27" s="1"/>
  <c r="H100" i="27"/>
  <c r="C151" i="27"/>
  <c r="C102" i="27"/>
  <c r="D103" i="27" s="1"/>
  <c r="F100" i="27"/>
  <c r="F102" i="27" s="1"/>
  <c r="Q88" i="27"/>
  <c r="L89" i="27"/>
  <c r="M88" i="27"/>
  <c r="J123" i="27"/>
  <c r="J119" i="27"/>
  <c r="L117" i="27"/>
  <c r="D186" i="27"/>
  <c r="H73" i="27"/>
  <c r="R72" i="27"/>
  <c r="R73" i="27" s="1"/>
  <c r="J185" i="27"/>
  <c r="J170" i="27"/>
  <c r="L168" i="27"/>
  <c r="D185" i="27"/>
  <c r="D170" i="27"/>
  <c r="L158" i="27"/>
  <c r="J175" i="27"/>
  <c r="L175" i="27" s="1"/>
  <c r="J135" i="27"/>
  <c r="L134" i="27"/>
  <c r="S43" i="27"/>
  <c r="S44" i="27" s="1"/>
  <c r="N44" i="27"/>
  <c r="J140" i="27"/>
  <c r="L139" i="27"/>
  <c r="J180" i="27"/>
  <c r="G168" i="27"/>
  <c r="G153" i="27"/>
  <c r="N101" i="27"/>
  <c r="H83" i="27"/>
  <c r="Q83" i="27" s="1"/>
  <c r="C84" i="27"/>
  <c r="D85" i="27" s="1"/>
  <c r="F83" i="27"/>
  <c r="F84" i="27" s="1"/>
  <c r="L153" i="27"/>
  <c r="M151" i="27"/>
  <c r="N15" i="27"/>
  <c r="N21" i="27" s="1"/>
  <c r="S13" i="27"/>
  <c r="S15" i="27" s="1"/>
  <c r="F124" i="27"/>
  <c r="L84" i="27"/>
  <c r="M83" i="27"/>
  <c r="C113" i="27"/>
  <c r="D114" i="27" s="1"/>
  <c r="C163" i="27"/>
  <c r="C134" i="27"/>
  <c r="H112" i="27"/>
  <c r="C129" i="27"/>
  <c r="F112" i="27"/>
  <c r="F113" i="27" s="1"/>
  <c r="M50" i="27"/>
  <c r="N48" i="27"/>
  <c r="D123" i="27"/>
  <c r="D119" i="27"/>
  <c r="Q112" i="27"/>
  <c r="L113" i="27"/>
  <c r="M112" i="27"/>
  <c r="M102" i="27"/>
  <c r="N100" i="27"/>
  <c r="D140" i="27"/>
  <c r="D180" i="27"/>
  <c r="G117" i="27"/>
  <c r="G79" i="27"/>
  <c r="D80" i="27"/>
  <c r="F175" i="27"/>
  <c r="S37" i="27"/>
  <c r="S39" i="27" s="1"/>
  <c r="N39" i="27"/>
  <c r="N62" i="27"/>
  <c r="G157" i="27"/>
  <c r="G108" i="27"/>
  <c r="E139" i="27"/>
  <c r="E135" i="27"/>
  <c r="D174" i="27"/>
  <c r="D159" i="27"/>
  <c r="Q61" i="27"/>
  <c r="R61" i="27" s="1"/>
  <c r="S61" i="27" s="1"/>
  <c r="J159" i="27"/>
  <c r="J174" i="27"/>
  <c r="L157" i="27"/>
  <c r="G180" i="27"/>
  <c r="G140" i="27"/>
  <c r="I101" i="30" l="1"/>
  <c r="J101" i="30"/>
  <c r="J102" i="30" s="1"/>
  <c r="O46" i="4"/>
  <c r="Z110" i="22"/>
  <c r="Y107" i="22"/>
  <c r="G101" i="30"/>
  <c r="AS101" i="30"/>
  <c r="AR101" i="30"/>
  <c r="Z46" i="4"/>
  <c r="R46" i="4"/>
  <c r="AK101" i="30"/>
  <c r="AX101" i="30"/>
  <c r="H101" i="30"/>
  <c r="BD101" i="30"/>
  <c r="Q46" i="4"/>
  <c r="N46" i="4"/>
  <c r="AN101" i="30"/>
  <c r="E101" i="30"/>
  <c r="AI101" i="30"/>
  <c r="AI102" i="30" s="1"/>
  <c r="BG101" i="30"/>
  <c r="AQ101" i="30"/>
  <c r="AR46" i="4" s="1"/>
  <c r="F101" i="30"/>
  <c r="BI101" i="30"/>
  <c r="BJ46" i="4" s="1"/>
  <c r="BF101" i="30"/>
  <c r="AV101" i="30"/>
  <c r="AW46" i="4" s="1"/>
  <c r="AJ101" i="30"/>
  <c r="BM101" i="30"/>
  <c r="J46" i="4"/>
  <c r="AT101" i="30"/>
  <c r="BJ101" i="30"/>
  <c r="BK101" i="30"/>
  <c r="BH101" i="30"/>
  <c r="V46" i="4"/>
  <c r="AM101" i="30"/>
  <c r="S46" i="4"/>
  <c r="AU101" i="30"/>
  <c r="BE101" i="30"/>
  <c r="AG101" i="30"/>
  <c r="AH101" i="30"/>
  <c r="AZ101" i="30"/>
  <c r="AW101" i="30"/>
  <c r="D101" i="30"/>
  <c r="BA101" i="30"/>
  <c r="C101" i="30"/>
  <c r="BL101" i="30"/>
  <c r="BN101" i="30"/>
  <c r="AY101" i="30"/>
  <c r="M46" i="4"/>
  <c r="K46" i="4"/>
  <c r="AL101" i="30"/>
  <c r="AL102" i="30" s="1"/>
  <c r="AP101" i="30"/>
  <c r="L46" i="4"/>
  <c r="BC101" i="30"/>
  <c r="BD46" i="4" s="1"/>
  <c r="BP98" i="30"/>
  <c r="K26" i="4"/>
  <c r="M102" i="30"/>
  <c r="P102" i="30"/>
  <c r="BB99" i="30"/>
  <c r="J34" i="4"/>
  <c r="AQ26" i="4"/>
  <c r="BM26" i="4"/>
  <c r="AZ26" i="4"/>
  <c r="BB100" i="30"/>
  <c r="AQ34" i="4"/>
  <c r="BO100" i="30"/>
  <c r="BD34" i="4"/>
  <c r="BM34" i="4"/>
  <c r="AZ34" i="4"/>
  <c r="BD26" i="4"/>
  <c r="BO99" i="30"/>
  <c r="AO99" i="30"/>
  <c r="AM26" i="4"/>
  <c r="AM34" i="4"/>
  <c r="BO26" i="4"/>
  <c r="W87" i="29"/>
  <c r="W95" i="29"/>
  <c r="M88" i="29"/>
  <c r="Q96" i="29"/>
  <c r="CB123" i="22"/>
  <c r="CC123" i="22" s="1"/>
  <c r="CD123" i="22" s="1"/>
  <c r="CE123" i="22" s="1"/>
  <c r="BT121" i="22"/>
  <c r="BU121" i="22" s="1"/>
  <c r="BV121" i="22" s="1"/>
  <c r="BW121" i="22" s="1"/>
  <c r="BX121" i="22" s="1"/>
  <c r="BY121" i="22" s="1"/>
  <c r="BZ121" i="22" s="1"/>
  <c r="CA121" i="22" s="1"/>
  <c r="CB121" i="22" s="1"/>
  <c r="CC121" i="22" s="1"/>
  <c r="CD121" i="22" s="1"/>
  <c r="BS121" i="22"/>
  <c r="G68" i="4"/>
  <c r="O100" i="30"/>
  <c r="AB99" i="30"/>
  <c r="O99" i="30"/>
  <c r="AB100" i="30"/>
  <c r="AF17" i="29"/>
  <c r="AF18" i="29" s="1"/>
  <c r="AG18" i="29"/>
  <c r="AF65" i="29"/>
  <c r="AF66" i="29" s="1"/>
  <c r="AG66" i="29"/>
  <c r="AF62" i="29" s="1"/>
  <c r="AB84" i="29"/>
  <c r="AB85" i="29" s="1"/>
  <c r="AB86" i="29" s="1"/>
  <c r="AA14" i="29"/>
  <c r="AG50" i="29"/>
  <c r="AF46" i="29" s="1"/>
  <c r="AF49" i="29"/>
  <c r="AF50" i="29" s="1"/>
  <c r="AF33" i="29"/>
  <c r="AF34" i="29" s="1"/>
  <c r="AG34" i="29"/>
  <c r="AF30" i="29" s="1"/>
  <c r="U97" i="29"/>
  <c r="K97" i="29"/>
  <c r="H97" i="29"/>
  <c r="C88" i="29"/>
  <c r="R87" i="29"/>
  <c r="H88" i="29"/>
  <c r="N97" i="29"/>
  <c r="X126" i="22"/>
  <c r="L126" i="22"/>
  <c r="L107" i="22" s="1"/>
  <c r="O95" i="29"/>
  <c r="G97" i="29"/>
  <c r="AP98" i="29"/>
  <c r="AP97" i="29"/>
  <c r="AC97" i="29"/>
  <c r="AC98" i="29"/>
  <c r="M98" i="29"/>
  <c r="M97" i="29"/>
  <c r="J97" i="29"/>
  <c r="T97" i="29"/>
  <c r="R62" i="27"/>
  <c r="S60" i="27"/>
  <c r="S62" i="27" s="1"/>
  <c r="H157" i="27"/>
  <c r="C159" i="27"/>
  <c r="C174" i="27"/>
  <c r="L170" i="27"/>
  <c r="M168" i="27"/>
  <c r="H108" i="27"/>
  <c r="R106" i="27"/>
  <c r="R108" i="27" s="1"/>
  <c r="C139" i="27"/>
  <c r="C135" i="27"/>
  <c r="D136" i="27" s="1"/>
  <c r="H134" i="27"/>
  <c r="F134" i="27"/>
  <c r="F135" i="27" s="1"/>
  <c r="M89" i="27"/>
  <c r="N88" i="27"/>
  <c r="R77" i="27"/>
  <c r="R79" i="27" s="1"/>
  <c r="H79" i="27"/>
  <c r="M113" i="27"/>
  <c r="N112" i="27"/>
  <c r="S72" i="27"/>
  <c r="S73" i="27" s="1"/>
  <c r="N73" i="27"/>
  <c r="M108" i="27"/>
  <c r="N106" i="27"/>
  <c r="Q101" i="27"/>
  <c r="R101" i="27" s="1"/>
  <c r="S101" i="27" s="1"/>
  <c r="D176" i="27"/>
  <c r="J187" i="27"/>
  <c r="L185" i="27"/>
  <c r="H152" i="27"/>
  <c r="C169" i="27"/>
  <c r="F152" i="27"/>
  <c r="AD271" i="27"/>
  <c r="AP271" i="27" s="1"/>
  <c r="AP269" i="27"/>
  <c r="D271" i="27"/>
  <c r="P271" i="27" s="1"/>
  <c r="P269" i="27"/>
  <c r="D187" i="27"/>
  <c r="BC269" i="27"/>
  <c r="AQ271" i="27"/>
  <c r="BC271" i="27" s="1"/>
  <c r="E180" i="27"/>
  <c r="E140" i="27"/>
  <c r="G123" i="27"/>
  <c r="G125" i="27" s="1"/>
  <c r="G119" i="27"/>
  <c r="D125" i="27"/>
  <c r="H102" i="27"/>
  <c r="Q100" i="27"/>
  <c r="R100" i="27" s="1"/>
  <c r="S100" i="27" s="1"/>
  <c r="M169" i="27"/>
  <c r="AC269" i="27"/>
  <c r="Q271" i="27"/>
  <c r="AC271" i="27" s="1"/>
  <c r="S48" i="27"/>
  <c r="S50" i="27" s="1"/>
  <c r="N50" i="27"/>
  <c r="N51" i="27" s="1"/>
  <c r="L135" i="27"/>
  <c r="M134" i="27"/>
  <c r="Q134" i="27"/>
  <c r="E168" i="27"/>
  <c r="E153" i="27"/>
  <c r="F90" i="27"/>
  <c r="BP269" i="27"/>
  <c r="BD271" i="27"/>
  <c r="BP271" i="27" s="1"/>
  <c r="R83" i="27"/>
  <c r="R84" i="27" s="1"/>
  <c r="H84" i="27"/>
  <c r="M84" i="27"/>
  <c r="N83" i="27"/>
  <c r="M186" i="27"/>
  <c r="G196" i="27"/>
  <c r="G181" i="27"/>
  <c r="G191" i="27"/>
  <c r="G192" i="27" s="1"/>
  <c r="D196" i="27"/>
  <c r="D191" i="27"/>
  <c r="D181" i="27"/>
  <c r="S21" i="27"/>
  <c r="S22" i="27"/>
  <c r="S107" i="27"/>
  <c r="L164" i="27"/>
  <c r="M163" i="27"/>
  <c r="Q163" i="27"/>
  <c r="S78" i="27"/>
  <c r="N68" i="27"/>
  <c r="S66" i="27"/>
  <c r="S68" i="27" s="1"/>
  <c r="H117" i="27"/>
  <c r="Q117" i="27" s="1"/>
  <c r="C119" i="27"/>
  <c r="C123" i="27"/>
  <c r="F123" i="27" s="1"/>
  <c r="F125" i="27" s="1"/>
  <c r="D160" i="27"/>
  <c r="D120" i="27"/>
  <c r="Q157" i="27"/>
  <c r="M157" i="27"/>
  <c r="L159" i="27"/>
  <c r="Q175" i="27"/>
  <c r="R175" i="27" s="1"/>
  <c r="M175" i="27"/>
  <c r="N175" i="27" s="1"/>
  <c r="L119" i="27"/>
  <c r="M117" i="27"/>
  <c r="Q129" i="27"/>
  <c r="L130" i="27"/>
  <c r="M129" i="27"/>
  <c r="H89" i="27"/>
  <c r="R88" i="27"/>
  <c r="R89" i="27" s="1"/>
  <c r="H163" i="27"/>
  <c r="C164" i="27"/>
  <c r="D165" i="27" s="1"/>
  <c r="F163" i="27"/>
  <c r="F164" i="27" s="1"/>
  <c r="F157" i="27"/>
  <c r="F159" i="27" s="1"/>
  <c r="C153" i="27"/>
  <c r="D154" i="27" s="1"/>
  <c r="C168" i="27"/>
  <c r="H151" i="27"/>
  <c r="Q151" i="27" s="1"/>
  <c r="F151" i="27"/>
  <c r="F153" i="27" s="1"/>
  <c r="G185" i="27"/>
  <c r="G187" i="27" s="1"/>
  <c r="G170" i="27"/>
  <c r="J176" i="27"/>
  <c r="L174" i="27"/>
  <c r="G159" i="27"/>
  <c r="G174" i="27"/>
  <c r="G176" i="27" s="1"/>
  <c r="H129" i="27"/>
  <c r="C130" i="27"/>
  <c r="D131" i="27" s="1"/>
  <c r="F129" i="27"/>
  <c r="F130" i="27" s="1"/>
  <c r="J191" i="27"/>
  <c r="J196" i="27"/>
  <c r="L180" i="27"/>
  <c r="J181" i="27"/>
  <c r="Q158" i="27"/>
  <c r="R158" i="27" s="1"/>
  <c r="M158" i="27"/>
  <c r="N158" i="27" s="1"/>
  <c r="Q118" i="27"/>
  <c r="R118" i="27" s="1"/>
  <c r="M118" i="27"/>
  <c r="N118" i="27" s="1"/>
  <c r="S33" i="27"/>
  <c r="N102" i="27"/>
  <c r="H113" i="27"/>
  <c r="R112" i="27"/>
  <c r="R113" i="27" s="1"/>
  <c r="N151" i="27"/>
  <c r="M153" i="27"/>
  <c r="L140" i="27"/>
  <c r="M139" i="27"/>
  <c r="J125" i="27"/>
  <c r="L123" i="27"/>
  <c r="M79" i="27"/>
  <c r="N77" i="27"/>
  <c r="Q124" i="27"/>
  <c r="R124" i="27" s="1"/>
  <c r="M124" i="27"/>
  <c r="N124" i="27" s="1"/>
  <c r="N102" i="30" l="1"/>
  <c r="BC102" i="30"/>
  <c r="AJ46" i="4"/>
  <c r="I102" i="30"/>
  <c r="AA110" i="22"/>
  <c r="AA126" i="22" s="1"/>
  <c r="Z107" i="22"/>
  <c r="Y102" i="30"/>
  <c r="AQ102" i="30"/>
  <c r="AM46" i="4"/>
  <c r="Y46" i="4"/>
  <c r="X102" i="30"/>
  <c r="AN46" i="4"/>
  <c r="AM102" i="30"/>
  <c r="AL46" i="4"/>
  <c r="AK102" i="30"/>
  <c r="AX46" i="4"/>
  <c r="AW102" i="30"/>
  <c r="AG46" i="4"/>
  <c r="AF102" i="30"/>
  <c r="BB46" i="4"/>
  <c r="BA102" i="30"/>
  <c r="AV46" i="4"/>
  <c r="AU102" i="30"/>
  <c r="BN46" i="4"/>
  <c r="BM102" i="30"/>
  <c r="I46" i="4"/>
  <c r="H102" i="30"/>
  <c r="AY46" i="4"/>
  <c r="AX102" i="30"/>
  <c r="AA46" i="4"/>
  <c r="Z102" i="30"/>
  <c r="W46" i="4"/>
  <c r="V102" i="30"/>
  <c r="U46" i="4"/>
  <c r="T102" i="30"/>
  <c r="BG46" i="4"/>
  <c r="BF102" i="30"/>
  <c r="R102" i="30"/>
  <c r="AK46" i="4"/>
  <c r="AJ102" i="30"/>
  <c r="AO46" i="4"/>
  <c r="AN102" i="30"/>
  <c r="BK46" i="4"/>
  <c r="BJ102" i="30"/>
  <c r="L102" i="30"/>
  <c r="AF46" i="4"/>
  <c r="AE102" i="30"/>
  <c r="T46" i="4"/>
  <c r="S102" i="30"/>
  <c r="AB46" i="4"/>
  <c r="AA102" i="30"/>
  <c r="AO101" i="30"/>
  <c r="BI46" i="4"/>
  <c r="BH102" i="30"/>
  <c r="F46" i="4"/>
  <c r="E102" i="30"/>
  <c r="AI46" i="4"/>
  <c r="AH102" i="30"/>
  <c r="G46" i="4"/>
  <c r="F102" i="30"/>
  <c r="AV102" i="30"/>
  <c r="BI102" i="30"/>
  <c r="AH46" i="4"/>
  <c r="AG102" i="30"/>
  <c r="AU46" i="4"/>
  <c r="AT102" i="30"/>
  <c r="BH46" i="4"/>
  <c r="BG102" i="30"/>
  <c r="H46" i="4"/>
  <c r="G102" i="30"/>
  <c r="E46" i="4"/>
  <c r="D102" i="30"/>
  <c r="X46" i="4"/>
  <c r="W102" i="30"/>
  <c r="BA46" i="4"/>
  <c r="AZ102" i="30"/>
  <c r="BL46" i="4"/>
  <c r="BK102" i="30"/>
  <c r="AS46" i="4"/>
  <c r="AR102" i="30"/>
  <c r="Q102" i="30"/>
  <c r="AT46" i="4"/>
  <c r="AS102" i="30"/>
  <c r="D46" i="4"/>
  <c r="C102" i="30"/>
  <c r="BF46" i="4"/>
  <c r="BE102" i="30"/>
  <c r="AE46" i="4"/>
  <c r="AD102" i="30"/>
  <c r="BE46" i="4"/>
  <c r="BD102" i="30"/>
  <c r="AD46" i="4"/>
  <c r="AC102" i="30"/>
  <c r="CF123" i="22"/>
  <c r="BB101" i="30"/>
  <c r="BM46" i="4"/>
  <c r="BL102" i="30"/>
  <c r="AQ46" i="4"/>
  <c r="AP102" i="30"/>
  <c r="AZ46" i="4"/>
  <c r="AY102" i="30"/>
  <c r="BO46" i="4"/>
  <c r="BO101" i="30"/>
  <c r="BN102" i="30"/>
  <c r="W96" i="29"/>
  <c r="W98" i="29" s="1"/>
  <c r="W88" i="29"/>
  <c r="W97" i="29"/>
  <c r="T96" i="29"/>
  <c r="CE121" i="22"/>
  <c r="CF121" i="22" s="1"/>
  <c r="H68" i="4"/>
  <c r="BP99" i="30"/>
  <c r="BP100" i="30"/>
  <c r="AB101" i="30"/>
  <c r="U102" i="30"/>
  <c r="O101" i="30"/>
  <c r="K102" i="30"/>
  <c r="S124" i="27"/>
  <c r="AD95" i="29"/>
  <c r="AB87" i="29"/>
  <c r="AD96" i="29" s="1"/>
  <c r="AG84" i="29"/>
  <c r="AG85" i="29" s="1"/>
  <c r="AG86" i="29" s="1"/>
  <c r="AF14" i="29"/>
  <c r="R88" i="29"/>
  <c r="R97" i="29"/>
  <c r="O96" i="29"/>
  <c r="M126" i="22"/>
  <c r="M107" i="22" s="1"/>
  <c r="Y126" i="22"/>
  <c r="J99" i="29"/>
  <c r="J102" i="29" s="1"/>
  <c r="M99" i="29"/>
  <c r="M102" i="29" s="1"/>
  <c r="O97" i="29"/>
  <c r="AC99" i="29"/>
  <c r="AC102" i="29" s="1"/>
  <c r="AP99" i="29"/>
  <c r="AP102" i="29" s="1"/>
  <c r="G99" i="29"/>
  <c r="Q98" i="29"/>
  <c r="AB95" i="29"/>
  <c r="Q97" i="29"/>
  <c r="S52" i="27"/>
  <c r="M135" i="27"/>
  <c r="N134" i="27"/>
  <c r="C140" i="27"/>
  <c r="C180" i="27"/>
  <c r="H139" i="27"/>
  <c r="F139" i="27"/>
  <c r="F140" i="27" s="1"/>
  <c r="F141" i="27" s="1"/>
  <c r="L181" i="27"/>
  <c r="M180" i="27"/>
  <c r="N129" i="27"/>
  <c r="M130" i="27"/>
  <c r="C186" i="27"/>
  <c r="H169" i="27"/>
  <c r="F169" i="27"/>
  <c r="S112" i="27"/>
  <c r="S113" i="27" s="1"/>
  <c r="N113" i="27"/>
  <c r="M170" i="27"/>
  <c r="N168" i="27"/>
  <c r="D126" i="27"/>
  <c r="N153" i="27"/>
  <c r="J201" i="27"/>
  <c r="J192" i="27"/>
  <c r="L191" i="27"/>
  <c r="M119" i="27"/>
  <c r="N117" i="27"/>
  <c r="D192" i="27"/>
  <c r="D201" i="27"/>
  <c r="D197" i="27"/>
  <c r="L187" i="27"/>
  <c r="M185" i="27"/>
  <c r="J197" i="27"/>
  <c r="L196" i="27"/>
  <c r="S102" i="27"/>
  <c r="N169" i="27"/>
  <c r="C176" i="27"/>
  <c r="H174" i="27"/>
  <c r="H168" i="27"/>
  <c r="C170" i="27"/>
  <c r="D171" i="27" s="1"/>
  <c r="C185" i="27"/>
  <c r="F168" i="27"/>
  <c r="F170" i="27" s="1"/>
  <c r="Q152" i="27"/>
  <c r="R152" i="27" s="1"/>
  <c r="S152" i="27" s="1"/>
  <c r="L125" i="27"/>
  <c r="M123" i="27"/>
  <c r="S51" i="27"/>
  <c r="R129" i="27"/>
  <c r="R130" i="27" s="1"/>
  <c r="H130" i="27"/>
  <c r="S175" i="27"/>
  <c r="Q169" i="27"/>
  <c r="F174" i="27"/>
  <c r="F176" i="27" s="1"/>
  <c r="S88" i="27"/>
  <c r="S89" i="27" s="1"/>
  <c r="N89" i="27"/>
  <c r="R117" i="27"/>
  <c r="R119" i="27" s="1"/>
  <c r="H119" i="27"/>
  <c r="E181" i="27"/>
  <c r="E191" i="27"/>
  <c r="E192" i="27" s="1"/>
  <c r="E196" i="27"/>
  <c r="S118" i="27"/>
  <c r="G201" i="27"/>
  <c r="G202" i="27" s="1"/>
  <c r="G197" i="27"/>
  <c r="D177" i="27"/>
  <c r="R157" i="27"/>
  <c r="R159" i="27" s="1"/>
  <c r="H159" i="27"/>
  <c r="S106" i="27"/>
  <c r="S108" i="27" s="1"/>
  <c r="N108" i="27"/>
  <c r="C125" i="27"/>
  <c r="H123" i="27"/>
  <c r="E170" i="27"/>
  <c r="E185" i="27"/>
  <c r="E187" i="27" s="1"/>
  <c r="S83" i="27"/>
  <c r="S84" i="27" s="1"/>
  <c r="N84" i="27"/>
  <c r="R151" i="27"/>
  <c r="S151" i="27" s="1"/>
  <c r="H153" i="27"/>
  <c r="N79" i="27"/>
  <c r="S77" i="27"/>
  <c r="S79" i="27" s="1"/>
  <c r="N163" i="27"/>
  <c r="M164" i="27"/>
  <c r="R102" i="27"/>
  <c r="BQ269" i="27"/>
  <c r="M140" i="27"/>
  <c r="N139" i="27"/>
  <c r="S158" i="27"/>
  <c r="L176" i="27"/>
  <c r="M174" i="27"/>
  <c r="R163" i="27"/>
  <c r="R164" i="27" s="1"/>
  <c r="H164" i="27"/>
  <c r="M159" i="27"/>
  <c r="N157" i="27"/>
  <c r="N186" i="27"/>
  <c r="BQ271" i="27"/>
  <c r="H135" i="27"/>
  <c r="R134" i="27"/>
  <c r="R135" i="27" s="1"/>
  <c r="AB110" i="22" l="1"/>
  <c r="AA107" i="22"/>
  <c r="AO102" i="30"/>
  <c r="O102" i="30"/>
  <c r="AB102" i="30"/>
  <c r="AB96" i="29"/>
  <c r="BB102" i="30"/>
  <c r="BO102" i="30"/>
  <c r="T98" i="29"/>
  <c r="W99" i="29"/>
  <c r="W102" i="29" s="1"/>
  <c r="AD98" i="29"/>
  <c r="AD102" i="29"/>
  <c r="AO102" i="29" s="1"/>
  <c r="BP101" i="30"/>
  <c r="O102" i="29"/>
  <c r="U99" i="29"/>
  <c r="AB88" i="29"/>
  <c r="AG87" i="29"/>
  <c r="AQ96" i="29" s="1"/>
  <c r="AQ95" i="29"/>
  <c r="AO96" i="29"/>
  <c r="AG88" i="29"/>
  <c r="AO95" i="29"/>
  <c r="AD97" i="29"/>
  <c r="I68" i="4"/>
  <c r="K68" i="4"/>
  <c r="N99" i="29"/>
  <c r="K99" i="29"/>
  <c r="O98" i="29"/>
  <c r="H99" i="29"/>
  <c r="AB97" i="29"/>
  <c r="AB126" i="22"/>
  <c r="N126" i="22"/>
  <c r="N107" i="22" s="1"/>
  <c r="Z126" i="22"/>
  <c r="Q99" i="29"/>
  <c r="Q102" i="29" s="1"/>
  <c r="N90" i="27"/>
  <c r="S90" i="27"/>
  <c r="S91" i="27"/>
  <c r="N174" i="27"/>
  <c r="M176" i="27"/>
  <c r="N130" i="27"/>
  <c r="S129" i="27"/>
  <c r="S130" i="27" s="1"/>
  <c r="M181" i="27"/>
  <c r="N180" i="27"/>
  <c r="C187" i="27"/>
  <c r="D188" i="27" s="1"/>
  <c r="H185" i="27"/>
  <c r="F185" i="27"/>
  <c r="F187" i="27" s="1"/>
  <c r="H170" i="27"/>
  <c r="D202" i="27"/>
  <c r="N170" i="27"/>
  <c r="N185" i="27"/>
  <c r="M187" i="27"/>
  <c r="H176" i="27"/>
  <c r="H140" i="27"/>
  <c r="Q139" i="27"/>
  <c r="R139" i="27" s="1"/>
  <c r="N140" i="27"/>
  <c r="C191" i="27"/>
  <c r="H180" i="27"/>
  <c r="C181" i="27"/>
  <c r="D182" i="27" s="1"/>
  <c r="C196" i="27"/>
  <c r="F180" i="27"/>
  <c r="F181" i="27" s="1"/>
  <c r="H125" i="27"/>
  <c r="Q123" i="27"/>
  <c r="R123" i="27" s="1"/>
  <c r="R125" i="27" s="1"/>
  <c r="S134" i="27"/>
  <c r="S135" i="27" s="1"/>
  <c r="N135" i="27"/>
  <c r="R169" i="27"/>
  <c r="S169" i="27" s="1"/>
  <c r="S163" i="27"/>
  <c r="S164" i="27" s="1"/>
  <c r="N164" i="27"/>
  <c r="H186" i="27"/>
  <c r="F186" i="27"/>
  <c r="Q186" i="27"/>
  <c r="Q168" i="27"/>
  <c r="R168" i="27" s="1"/>
  <c r="S153" i="27"/>
  <c r="R153" i="27"/>
  <c r="N159" i="27"/>
  <c r="S157" i="27"/>
  <c r="S159" i="27" s="1"/>
  <c r="E201" i="27"/>
  <c r="E202" i="27" s="1"/>
  <c r="E197" i="27"/>
  <c r="S117" i="27"/>
  <c r="S119" i="27" s="1"/>
  <c r="N119" i="27"/>
  <c r="N123" i="27"/>
  <c r="M125" i="27"/>
  <c r="L197" i="27"/>
  <c r="M196" i="27"/>
  <c r="L192" i="27"/>
  <c r="M191" i="27"/>
  <c r="Q174" i="27"/>
  <c r="R174" i="27" s="1"/>
  <c r="R176" i="27" s="1"/>
  <c r="J202" i="27"/>
  <c r="L201" i="27"/>
  <c r="AC110" i="22" l="1"/>
  <c r="AB107" i="22"/>
  <c r="BP102" i="30"/>
  <c r="T99" i="29"/>
  <c r="T102" i="29" s="1"/>
  <c r="AB102" i="29" s="1"/>
  <c r="AD104" i="29"/>
  <c r="AQ98" i="29"/>
  <c r="AQ102" i="29"/>
  <c r="BB102" i="29" s="1"/>
  <c r="AB98" i="29"/>
  <c r="R99" i="29"/>
  <c r="AO97" i="29"/>
  <c r="AD99" i="29"/>
  <c r="AO99" i="29" s="1"/>
  <c r="AO98" i="29"/>
  <c r="O99" i="29"/>
  <c r="BB95" i="29"/>
  <c r="BP95" i="29" s="1"/>
  <c r="AQ97" i="29"/>
  <c r="BB96" i="29"/>
  <c r="BP96" i="29" s="1"/>
  <c r="L68" i="4"/>
  <c r="J68" i="4"/>
  <c r="AC126" i="22"/>
  <c r="O126" i="22"/>
  <c r="O107" i="22" s="1"/>
  <c r="R170" i="27"/>
  <c r="S168" i="27"/>
  <c r="S170" i="27" s="1"/>
  <c r="R140" i="27"/>
  <c r="S139" i="27"/>
  <c r="S140" i="27" s="1"/>
  <c r="N181" i="27"/>
  <c r="H187" i="27"/>
  <c r="R186" i="27"/>
  <c r="S186" i="27" s="1"/>
  <c r="H181" i="27"/>
  <c r="Q180" i="27"/>
  <c r="R180" i="27" s="1"/>
  <c r="R181" i="27" s="1"/>
  <c r="S165" i="27"/>
  <c r="N125" i="27"/>
  <c r="N141" i="27" s="1"/>
  <c r="S123" i="27"/>
  <c r="S125" i="27" s="1"/>
  <c r="L202" i="27"/>
  <c r="M201" i="27"/>
  <c r="C197" i="27"/>
  <c r="D198" i="27" s="1"/>
  <c r="H196" i="27"/>
  <c r="C201" i="27"/>
  <c r="F196" i="27"/>
  <c r="F197" i="27" s="1"/>
  <c r="Q185" i="27"/>
  <c r="R185" i="27" s="1"/>
  <c r="N187" i="27"/>
  <c r="M192" i="27"/>
  <c r="N191" i="27"/>
  <c r="H191" i="27"/>
  <c r="C192" i="27"/>
  <c r="D193" i="27" s="1"/>
  <c r="F191" i="27"/>
  <c r="F192" i="27" s="1"/>
  <c r="Q191" i="27"/>
  <c r="N176" i="27"/>
  <c r="S174" i="27"/>
  <c r="S176" i="27" s="1"/>
  <c r="M197" i="27"/>
  <c r="N196" i="27"/>
  <c r="AD110" i="22" l="1"/>
  <c r="AC107" i="22"/>
  <c r="BP102" i="29"/>
  <c r="AB99" i="29"/>
  <c r="AQ104" i="29"/>
  <c r="BB97" i="29"/>
  <c r="BP97" i="29" s="1"/>
  <c r="AQ99" i="29"/>
  <c r="BB99" i="29" s="1"/>
  <c r="BP99" i="29" s="1"/>
  <c r="BB98" i="29"/>
  <c r="BP98" i="29" s="1"/>
  <c r="M68" i="4"/>
  <c r="P126" i="22"/>
  <c r="P107" i="22" s="1"/>
  <c r="AD126" i="22"/>
  <c r="S142" i="27"/>
  <c r="H197" i="27"/>
  <c r="Q196" i="27"/>
  <c r="R196" i="27" s="1"/>
  <c r="S180" i="27"/>
  <c r="S181" i="27" s="1"/>
  <c r="M202" i="27"/>
  <c r="N201" i="27"/>
  <c r="H192" i="27"/>
  <c r="R191" i="27"/>
  <c r="S141" i="27"/>
  <c r="R187" i="27"/>
  <c r="N192" i="27"/>
  <c r="N197" i="27"/>
  <c r="S185" i="27"/>
  <c r="S187" i="27" s="1"/>
  <c r="C202" i="27"/>
  <c r="H201" i="27"/>
  <c r="F201" i="27"/>
  <c r="F202" i="27" s="1"/>
  <c r="F203" i="27" s="1"/>
  <c r="AE110" i="22" l="1"/>
  <c r="AD107" i="22"/>
  <c r="AF110" i="22"/>
  <c r="AF107" i="22" s="1"/>
  <c r="BP104" i="29"/>
  <c r="R192" i="27"/>
  <c r="S191" i="27"/>
  <c r="S192" i="27" s="1"/>
  <c r="N68" i="4"/>
  <c r="AE126" i="22"/>
  <c r="Q126" i="22"/>
  <c r="Q107" i="22" s="1"/>
  <c r="R197" i="27"/>
  <c r="S196" i="27"/>
  <c r="S197" i="27" s="1"/>
  <c r="N202" i="27"/>
  <c r="N203" i="27" s="1"/>
  <c r="H202" i="27"/>
  <c r="Q201" i="27"/>
  <c r="R201" i="27" s="1"/>
  <c r="R202" i="27" s="1"/>
  <c r="T4" i="22"/>
  <c r="U4" i="22" s="1"/>
  <c r="V4" i="22" s="1"/>
  <c r="W4" i="22" s="1"/>
  <c r="X4" i="22" s="1"/>
  <c r="Y4" i="22" s="1"/>
  <c r="Z4" i="22" s="1"/>
  <c r="AA4" i="22" s="1"/>
  <c r="AB4" i="22" s="1"/>
  <c r="AC4" i="22" s="1"/>
  <c r="AD4" i="22" s="1"/>
  <c r="AE4" i="22" s="1"/>
  <c r="G11" i="22"/>
  <c r="AR85" i="4"/>
  <c r="AS85" i="4" s="1"/>
  <c r="AT85" i="4" s="1"/>
  <c r="AU85" i="4" s="1"/>
  <c r="AV85" i="4" s="1"/>
  <c r="AR84" i="4"/>
  <c r="AS84" i="4" s="1"/>
  <c r="AT84" i="4" s="1"/>
  <c r="AU84" i="4" s="1"/>
  <c r="AV84" i="4" s="1"/>
  <c r="T44" i="22"/>
  <c r="G19" i="22"/>
  <c r="H19" i="22" s="1"/>
  <c r="G13" i="1"/>
  <c r="I13" i="1"/>
  <c r="K13" i="1" s="1"/>
  <c r="M13" i="1"/>
  <c r="G100" i="22"/>
  <c r="H100" i="22" s="1"/>
  <c r="I100" i="22" s="1"/>
  <c r="J100" i="22" s="1"/>
  <c r="K100" i="22" s="1"/>
  <c r="L100" i="22" s="1"/>
  <c r="M100" i="22" s="1"/>
  <c r="N100" i="22" s="1"/>
  <c r="O100" i="22" s="1"/>
  <c r="P100" i="22" s="1"/>
  <c r="Q100" i="22" s="1"/>
  <c r="R100" i="22" s="1"/>
  <c r="T100" i="22" s="1"/>
  <c r="G99" i="22"/>
  <c r="G98" i="22"/>
  <c r="H98" i="22" s="1"/>
  <c r="I98" i="22" s="1"/>
  <c r="J98" i="22" s="1"/>
  <c r="K98" i="22" s="1"/>
  <c r="L98" i="22" s="1"/>
  <c r="M98" i="22" s="1"/>
  <c r="N98" i="22" s="1"/>
  <c r="O98" i="22" s="1"/>
  <c r="P98" i="22" s="1"/>
  <c r="Q98" i="22" s="1"/>
  <c r="R98" i="22" s="1"/>
  <c r="T98" i="22" s="1"/>
  <c r="G96" i="22"/>
  <c r="G95" i="22"/>
  <c r="H95" i="22" s="1"/>
  <c r="I95" i="22" s="1"/>
  <c r="J95" i="22" s="1"/>
  <c r="K95" i="22" s="1"/>
  <c r="L95" i="22" s="1"/>
  <c r="M95" i="22" s="1"/>
  <c r="N95" i="22" s="1"/>
  <c r="O95" i="22" s="1"/>
  <c r="P95" i="22" s="1"/>
  <c r="Q95" i="22" s="1"/>
  <c r="R95" i="22" s="1"/>
  <c r="T95" i="22" s="1"/>
  <c r="U95" i="22" s="1"/>
  <c r="V95" i="22" s="1"/>
  <c r="W95" i="22" s="1"/>
  <c r="X95" i="22" s="1"/>
  <c r="Y95" i="22" s="1"/>
  <c r="Z95" i="22" s="1"/>
  <c r="AA95" i="22" s="1"/>
  <c r="AB95" i="22" s="1"/>
  <c r="AC95" i="22" s="1"/>
  <c r="AD95" i="22" s="1"/>
  <c r="AE95" i="22" s="1"/>
  <c r="AG95" i="22" s="1"/>
  <c r="G94" i="22"/>
  <c r="H94" i="22" s="1"/>
  <c r="I94" i="22" s="1"/>
  <c r="J94" i="22" s="1"/>
  <c r="K94" i="22" s="1"/>
  <c r="L94" i="22" s="1"/>
  <c r="M94" i="22" s="1"/>
  <c r="N94" i="22" s="1"/>
  <c r="O94" i="22" s="1"/>
  <c r="P94" i="22" s="1"/>
  <c r="Q94" i="22" s="1"/>
  <c r="R94" i="22" s="1"/>
  <c r="T94" i="22" s="1"/>
  <c r="U94" i="22" s="1"/>
  <c r="V94" i="22" s="1"/>
  <c r="W94" i="22" s="1"/>
  <c r="X94" i="22" s="1"/>
  <c r="Y94" i="22" s="1"/>
  <c r="Z94" i="22" s="1"/>
  <c r="AA94" i="22" s="1"/>
  <c r="AB94" i="22" s="1"/>
  <c r="AC94" i="22" s="1"/>
  <c r="AD94" i="22" s="1"/>
  <c r="AE94" i="22" s="1"/>
  <c r="AG94" i="22" s="1"/>
  <c r="G93" i="22"/>
  <c r="G92" i="22"/>
  <c r="G91" i="22"/>
  <c r="G90" i="22"/>
  <c r="H90" i="22" s="1"/>
  <c r="I90" i="22" s="1"/>
  <c r="J90" i="22" s="1"/>
  <c r="K90" i="22" s="1"/>
  <c r="L90" i="22" s="1"/>
  <c r="M90" i="22" s="1"/>
  <c r="N90" i="22" s="1"/>
  <c r="O90" i="22" s="1"/>
  <c r="P90" i="22" s="1"/>
  <c r="Q90" i="22" s="1"/>
  <c r="R90" i="22" s="1"/>
  <c r="T90" i="22" s="1"/>
  <c r="G89" i="22"/>
  <c r="H89" i="22" s="1"/>
  <c r="I89" i="22" s="1"/>
  <c r="J89" i="22" s="1"/>
  <c r="K89" i="22" s="1"/>
  <c r="L89" i="22" s="1"/>
  <c r="M89" i="22" s="1"/>
  <c r="N89" i="22" s="1"/>
  <c r="O89" i="22" s="1"/>
  <c r="P89" i="22" s="1"/>
  <c r="Q89" i="22" s="1"/>
  <c r="R89" i="22" s="1"/>
  <c r="T89" i="22" s="1"/>
  <c r="U89" i="22" s="1"/>
  <c r="V89" i="22" s="1"/>
  <c r="W89" i="22" s="1"/>
  <c r="X89" i="22" s="1"/>
  <c r="Y89" i="22" s="1"/>
  <c r="Z89" i="22" s="1"/>
  <c r="AA89" i="22" s="1"/>
  <c r="AB89" i="22" s="1"/>
  <c r="AC89" i="22" s="1"/>
  <c r="AD89" i="22" s="1"/>
  <c r="AE89" i="22" s="1"/>
  <c r="AG89" i="22" s="1"/>
  <c r="G88" i="22"/>
  <c r="H88" i="22" s="1"/>
  <c r="I88" i="22" s="1"/>
  <c r="J88" i="22" s="1"/>
  <c r="K88" i="22" s="1"/>
  <c r="L88" i="22" s="1"/>
  <c r="M88" i="22" s="1"/>
  <c r="N88" i="22" s="1"/>
  <c r="O88" i="22" s="1"/>
  <c r="P88" i="22" s="1"/>
  <c r="Q88" i="22" s="1"/>
  <c r="R88" i="22" s="1"/>
  <c r="T88" i="22" s="1"/>
  <c r="U88" i="22" s="1"/>
  <c r="V88" i="22" s="1"/>
  <c r="W88" i="22" s="1"/>
  <c r="X88" i="22" s="1"/>
  <c r="Y88" i="22" s="1"/>
  <c r="Z88" i="22" s="1"/>
  <c r="AA88" i="22" s="1"/>
  <c r="AB88" i="22" s="1"/>
  <c r="AC88" i="22" s="1"/>
  <c r="AD88" i="22" s="1"/>
  <c r="AE88" i="22" s="1"/>
  <c r="AG88" i="22" s="1"/>
  <c r="G87" i="22"/>
  <c r="H87" i="22" s="1"/>
  <c r="I87" i="22" s="1"/>
  <c r="J87" i="22" s="1"/>
  <c r="K87" i="22" s="1"/>
  <c r="L87" i="22" s="1"/>
  <c r="M87" i="22" s="1"/>
  <c r="N87" i="22" s="1"/>
  <c r="O87" i="22" s="1"/>
  <c r="P87" i="22" s="1"/>
  <c r="Q87" i="22" s="1"/>
  <c r="R87" i="22" s="1"/>
  <c r="T87" i="22" s="1"/>
  <c r="U87" i="22" s="1"/>
  <c r="V87" i="22" s="1"/>
  <c r="W87" i="22" s="1"/>
  <c r="X87" i="22" s="1"/>
  <c r="Y87" i="22" s="1"/>
  <c r="Z87" i="22" s="1"/>
  <c r="AA87" i="22" s="1"/>
  <c r="AB87" i="22" s="1"/>
  <c r="AC87" i="22" s="1"/>
  <c r="AD87" i="22" s="1"/>
  <c r="AE87" i="22" s="1"/>
  <c r="AG87" i="22" s="1"/>
  <c r="G86" i="22"/>
  <c r="H86" i="22" s="1"/>
  <c r="I86" i="22" s="1"/>
  <c r="J86" i="22" s="1"/>
  <c r="K86" i="22" s="1"/>
  <c r="L86" i="22" s="1"/>
  <c r="M86" i="22" s="1"/>
  <c r="N86" i="22" s="1"/>
  <c r="O86" i="22" s="1"/>
  <c r="P86" i="22" s="1"/>
  <c r="Q86" i="22" s="1"/>
  <c r="R86" i="22" s="1"/>
  <c r="T86" i="22" s="1"/>
  <c r="G85" i="22"/>
  <c r="H85" i="22" s="1"/>
  <c r="I85" i="22" s="1"/>
  <c r="J85" i="22" s="1"/>
  <c r="K85" i="22" s="1"/>
  <c r="L85" i="22" s="1"/>
  <c r="M85" i="22" s="1"/>
  <c r="N85" i="22" s="1"/>
  <c r="O85" i="22" s="1"/>
  <c r="P85" i="22" s="1"/>
  <c r="Q85" i="22" s="1"/>
  <c r="R85" i="22" s="1"/>
  <c r="T85" i="22" s="1"/>
  <c r="G84" i="22"/>
  <c r="H84" i="22" s="1"/>
  <c r="I84" i="22" s="1"/>
  <c r="J84" i="22" s="1"/>
  <c r="K84" i="22" s="1"/>
  <c r="L84" i="22" s="1"/>
  <c r="M84" i="22" s="1"/>
  <c r="N84" i="22" s="1"/>
  <c r="O84" i="22" s="1"/>
  <c r="P84" i="22" s="1"/>
  <c r="Q84" i="22" s="1"/>
  <c r="R84" i="22" s="1"/>
  <c r="T84" i="22" s="1"/>
  <c r="U84" i="22" s="1"/>
  <c r="V84" i="22" s="1"/>
  <c r="W84" i="22" s="1"/>
  <c r="X84" i="22" s="1"/>
  <c r="Y84" i="22" s="1"/>
  <c r="Z84" i="22" s="1"/>
  <c r="AA84" i="22" s="1"/>
  <c r="AB84" i="22" s="1"/>
  <c r="AC84" i="22" s="1"/>
  <c r="AD84" i="22" s="1"/>
  <c r="AE84" i="22" s="1"/>
  <c r="AG84" i="22" s="1"/>
  <c r="G83" i="22"/>
  <c r="H83" i="22" s="1"/>
  <c r="I83" i="22" s="1"/>
  <c r="J83" i="22" s="1"/>
  <c r="K83" i="22" s="1"/>
  <c r="L83" i="22" s="1"/>
  <c r="M83" i="22" s="1"/>
  <c r="N83" i="22" s="1"/>
  <c r="O83" i="22" s="1"/>
  <c r="P83" i="22" s="1"/>
  <c r="Q83" i="22" s="1"/>
  <c r="R83" i="22" s="1"/>
  <c r="T83" i="22" s="1"/>
  <c r="U83" i="22" s="1"/>
  <c r="V83" i="22" s="1"/>
  <c r="W83" i="22" s="1"/>
  <c r="X83" i="22" s="1"/>
  <c r="Y83" i="22" s="1"/>
  <c r="Z83" i="22" s="1"/>
  <c r="AA83" i="22" s="1"/>
  <c r="AB83" i="22" s="1"/>
  <c r="AC83" i="22" s="1"/>
  <c r="AD83" i="22" s="1"/>
  <c r="AE83" i="22" s="1"/>
  <c r="AG83" i="22" s="1"/>
  <c r="G82" i="22"/>
  <c r="H82" i="22" s="1"/>
  <c r="I82" i="22" s="1"/>
  <c r="J82" i="22" s="1"/>
  <c r="K82" i="22" s="1"/>
  <c r="L82" i="22" s="1"/>
  <c r="M82" i="22" s="1"/>
  <c r="N82" i="22" s="1"/>
  <c r="O82" i="22" s="1"/>
  <c r="P82" i="22" s="1"/>
  <c r="Q82" i="22" s="1"/>
  <c r="R82" i="22" s="1"/>
  <c r="T82" i="22" s="1"/>
  <c r="G80" i="22"/>
  <c r="H80" i="22" s="1"/>
  <c r="I80" i="22" s="1"/>
  <c r="J80" i="22" s="1"/>
  <c r="K80" i="22" s="1"/>
  <c r="L80" i="22" s="1"/>
  <c r="M80" i="22" s="1"/>
  <c r="N80" i="22" s="1"/>
  <c r="O80" i="22" s="1"/>
  <c r="P80" i="22" s="1"/>
  <c r="Q80" i="22" s="1"/>
  <c r="R80" i="22" s="1"/>
  <c r="T80" i="22" s="1"/>
  <c r="U80" i="22" s="1"/>
  <c r="V80" i="22" s="1"/>
  <c r="W80" i="22" s="1"/>
  <c r="X80" i="22" s="1"/>
  <c r="Y80" i="22" s="1"/>
  <c r="Z80" i="22" s="1"/>
  <c r="AA80" i="22" s="1"/>
  <c r="AB80" i="22" s="1"/>
  <c r="AC80" i="22" s="1"/>
  <c r="AD80" i="22" s="1"/>
  <c r="AE80" i="22" s="1"/>
  <c r="AG80" i="22" s="1"/>
  <c r="G79" i="22"/>
  <c r="H79" i="22" s="1"/>
  <c r="I79" i="22" s="1"/>
  <c r="J79" i="22" s="1"/>
  <c r="K79" i="22" s="1"/>
  <c r="L79" i="22" s="1"/>
  <c r="M79" i="22" s="1"/>
  <c r="N79" i="22" s="1"/>
  <c r="O79" i="22" s="1"/>
  <c r="P79" i="22" s="1"/>
  <c r="Q79" i="22" s="1"/>
  <c r="R79" i="22" s="1"/>
  <c r="T79" i="22" s="1"/>
  <c r="G78" i="22"/>
  <c r="H78" i="22" s="1"/>
  <c r="I78" i="22" s="1"/>
  <c r="J78" i="22" s="1"/>
  <c r="K78" i="22" s="1"/>
  <c r="L78" i="22" s="1"/>
  <c r="M78" i="22" s="1"/>
  <c r="N78" i="22" s="1"/>
  <c r="O78" i="22" s="1"/>
  <c r="P78" i="22" s="1"/>
  <c r="Q78" i="22" s="1"/>
  <c r="R78" i="22" s="1"/>
  <c r="T78" i="22" s="1"/>
  <c r="G77" i="22"/>
  <c r="G76" i="22"/>
  <c r="H76" i="22" s="1"/>
  <c r="I76" i="22" s="1"/>
  <c r="J76" i="22" s="1"/>
  <c r="K76" i="22" s="1"/>
  <c r="L76" i="22" s="1"/>
  <c r="M76" i="22" s="1"/>
  <c r="N76" i="22" s="1"/>
  <c r="O76" i="22" s="1"/>
  <c r="P76" i="22" s="1"/>
  <c r="Q76" i="22" s="1"/>
  <c r="R76" i="22" s="1"/>
  <c r="T76" i="22" s="1"/>
  <c r="G74" i="22"/>
  <c r="H74" i="22" s="1"/>
  <c r="I74" i="22" s="1"/>
  <c r="J74" i="22" s="1"/>
  <c r="K74" i="22" s="1"/>
  <c r="L74" i="22" s="1"/>
  <c r="M74" i="22" s="1"/>
  <c r="N74" i="22" s="1"/>
  <c r="O74" i="22" s="1"/>
  <c r="P74" i="22" s="1"/>
  <c r="Q74" i="22" s="1"/>
  <c r="R74" i="22" s="1"/>
  <c r="T74" i="22" s="1"/>
  <c r="G73" i="22"/>
  <c r="H73" i="22" s="1"/>
  <c r="I73" i="22" s="1"/>
  <c r="J73" i="22" s="1"/>
  <c r="K73" i="22" s="1"/>
  <c r="L73" i="22" s="1"/>
  <c r="M73" i="22" s="1"/>
  <c r="N73" i="22" s="1"/>
  <c r="O73" i="22" s="1"/>
  <c r="P73" i="22" s="1"/>
  <c r="Q73" i="22" s="1"/>
  <c r="R73" i="22" s="1"/>
  <c r="T73" i="22" s="1"/>
  <c r="G72" i="22"/>
  <c r="G71" i="22"/>
  <c r="H71" i="22" s="1"/>
  <c r="I71" i="22" s="1"/>
  <c r="J71" i="22" s="1"/>
  <c r="K71" i="22" s="1"/>
  <c r="L71" i="22" s="1"/>
  <c r="M71" i="22" s="1"/>
  <c r="N71" i="22" s="1"/>
  <c r="O71" i="22" s="1"/>
  <c r="P71" i="22" s="1"/>
  <c r="Q71" i="22" s="1"/>
  <c r="R71" i="22" s="1"/>
  <c r="T71" i="22" s="1"/>
  <c r="G70" i="22"/>
  <c r="H70" i="22" s="1"/>
  <c r="I70" i="22" s="1"/>
  <c r="J70" i="22" s="1"/>
  <c r="K70" i="22" s="1"/>
  <c r="L70" i="22" s="1"/>
  <c r="M70" i="22" s="1"/>
  <c r="N70" i="22" s="1"/>
  <c r="O70" i="22" s="1"/>
  <c r="P70" i="22" s="1"/>
  <c r="Q70" i="22" s="1"/>
  <c r="R70" i="22" s="1"/>
  <c r="T70" i="22" s="1"/>
  <c r="G69" i="22"/>
  <c r="H69" i="22" s="1"/>
  <c r="I69" i="22" s="1"/>
  <c r="J69" i="22" s="1"/>
  <c r="K69" i="22" s="1"/>
  <c r="L69" i="22" s="1"/>
  <c r="M69" i="22" s="1"/>
  <c r="N69" i="22" s="1"/>
  <c r="O69" i="22" s="1"/>
  <c r="P69" i="22" s="1"/>
  <c r="Q69" i="22" s="1"/>
  <c r="R69" i="22" s="1"/>
  <c r="T69" i="22" s="1"/>
  <c r="G68" i="22"/>
  <c r="H68" i="22" s="1"/>
  <c r="I68" i="22" s="1"/>
  <c r="J68" i="22" s="1"/>
  <c r="K68" i="22" s="1"/>
  <c r="L68" i="22" s="1"/>
  <c r="M68" i="22" s="1"/>
  <c r="N68" i="22" s="1"/>
  <c r="O68" i="22" s="1"/>
  <c r="P68" i="22" s="1"/>
  <c r="Q68" i="22" s="1"/>
  <c r="R68" i="22" s="1"/>
  <c r="T68" i="22" s="1"/>
  <c r="G67" i="22"/>
  <c r="H67" i="22" s="1"/>
  <c r="I67" i="22" s="1"/>
  <c r="J67" i="22" s="1"/>
  <c r="K67" i="22" s="1"/>
  <c r="L67" i="22" s="1"/>
  <c r="M67" i="22" s="1"/>
  <c r="N67" i="22" s="1"/>
  <c r="O67" i="22" s="1"/>
  <c r="P67" i="22" s="1"/>
  <c r="Q67" i="22" s="1"/>
  <c r="R67" i="22" s="1"/>
  <c r="T67" i="22" s="1"/>
  <c r="G66" i="22"/>
  <c r="H66" i="22" s="1"/>
  <c r="I66" i="22" s="1"/>
  <c r="J66" i="22" s="1"/>
  <c r="K66" i="22" s="1"/>
  <c r="L66" i="22" s="1"/>
  <c r="M66" i="22" s="1"/>
  <c r="N66" i="22" s="1"/>
  <c r="O66" i="22" s="1"/>
  <c r="P66" i="22" s="1"/>
  <c r="Q66" i="22" s="1"/>
  <c r="R66" i="22" s="1"/>
  <c r="T66" i="22" s="1"/>
  <c r="G65" i="22"/>
  <c r="H65" i="22" s="1"/>
  <c r="I65" i="22" s="1"/>
  <c r="J65" i="22" s="1"/>
  <c r="K65" i="22" s="1"/>
  <c r="L65" i="22" s="1"/>
  <c r="M65" i="22" s="1"/>
  <c r="N65" i="22" s="1"/>
  <c r="O65" i="22" s="1"/>
  <c r="P65" i="22" s="1"/>
  <c r="Q65" i="22" s="1"/>
  <c r="R65" i="22" s="1"/>
  <c r="T65" i="22" s="1"/>
  <c r="G64" i="22"/>
  <c r="H64" i="22" s="1"/>
  <c r="I64" i="22" s="1"/>
  <c r="J64" i="22" s="1"/>
  <c r="K64" i="22" s="1"/>
  <c r="L64" i="22" s="1"/>
  <c r="M64" i="22" s="1"/>
  <c r="N64" i="22" s="1"/>
  <c r="O64" i="22" s="1"/>
  <c r="P64" i="22" s="1"/>
  <c r="Q64" i="22" s="1"/>
  <c r="R64" i="22" s="1"/>
  <c r="T64" i="22" s="1"/>
  <c r="G63" i="22"/>
  <c r="H63" i="22" s="1"/>
  <c r="I63" i="22" s="1"/>
  <c r="J63" i="22" s="1"/>
  <c r="K63" i="22" s="1"/>
  <c r="L63" i="22" s="1"/>
  <c r="M63" i="22" s="1"/>
  <c r="N63" i="22" s="1"/>
  <c r="O63" i="22" s="1"/>
  <c r="P63" i="22" s="1"/>
  <c r="Q63" i="22" s="1"/>
  <c r="R63" i="22" s="1"/>
  <c r="T63" i="22" s="1"/>
  <c r="T61" i="22"/>
  <c r="T60" i="22"/>
  <c r="T59" i="22"/>
  <c r="U59" i="22" s="1"/>
  <c r="V59" i="22" s="1"/>
  <c r="W59" i="22" s="1"/>
  <c r="X59" i="22" s="1"/>
  <c r="Y59" i="22" s="1"/>
  <c r="Z59" i="22" s="1"/>
  <c r="AA59" i="22" s="1"/>
  <c r="AB59" i="22" s="1"/>
  <c r="AC59" i="22" s="1"/>
  <c r="AD59" i="22" s="1"/>
  <c r="AE59" i="22" s="1"/>
  <c r="AG59" i="22" s="1"/>
  <c r="T58" i="22"/>
  <c r="U58" i="22" s="1"/>
  <c r="V58" i="22" s="1"/>
  <c r="W58" i="22" s="1"/>
  <c r="X58" i="22" s="1"/>
  <c r="Y58" i="22" s="1"/>
  <c r="Z58" i="22" s="1"/>
  <c r="AA58" i="22" s="1"/>
  <c r="AB58" i="22" s="1"/>
  <c r="AC58" i="22" s="1"/>
  <c r="AD58" i="22" s="1"/>
  <c r="AE58" i="22" s="1"/>
  <c r="AG58" i="22" s="1"/>
  <c r="T57" i="22"/>
  <c r="U57" i="22" s="1"/>
  <c r="V57" i="22" s="1"/>
  <c r="W57" i="22" s="1"/>
  <c r="X57" i="22" s="1"/>
  <c r="Y57" i="22" s="1"/>
  <c r="Z57" i="22" s="1"/>
  <c r="AA57" i="22" s="1"/>
  <c r="AB57" i="22" s="1"/>
  <c r="AC57" i="22" s="1"/>
  <c r="AD57" i="22" s="1"/>
  <c r="AE57" i="22" s="1"/>
  <c r="AG57" i="22" s="1"/>
  <c r="T56" i="22"/>
  <c r="U56" i="22" s="1"/>
  <c r="V56" i="22" s="1"/>
  <c r="W56" i="22" s="1"/>
  <c r="X56" i="22" s="1"/>
  <c r="Y56" i="22" s="1"/>
  <c r="Z56" i="22" s="1"/>
  <c r="AA56" i="22" s="1"/>
  <c r="AB56" i="22" s="1"/>
  <c r="AC56" i="22" s="1"/>
  <c r="AD56" i="22" s="1"/>
  <c r="AE56" i="22" s="1"/>
  <c r="AG56" i="22" s="1"/>
  <c r="T55" i="22"/>
  <c r="T54" i="22"/>
  <c r="U54" i="22" s="1"/>
  <c r="V54" i="22" s="1"/>
  <c r="W54" i="22" s="1"/>
  <c r="X54" i="22" s="1"/>
  <c r="Y54" i="22" s="1"/>
  <c r="Z54" i="22" s="1"/>
  <c r="AA54" i="22" s="1"/>
  <c r="AB54" i="22" s="1"/>
  <c r="AC54" i="22" s="1"/>
  <c r="AD54" i="22" s="1"/>
  <c r="AE54" i="22" s="1"/>
  <c r="AG54" i="22" s="1"/>
  <c r="V53" i="22"/>
  <c r="W53" i="22" s="1"/>
  <c r="X53" i="22" s="1"/>
  <c r="Y53" i="22" s="1"/>
  <c r="Z53" i="22" s="1"/>
  <c r="AA53" i="22" s="1"/>
  <c r="AB53" i="22" s="1"/>
  <c r="AC53" i="22" s="1"/>
  <c r="AD53" i="22" s="1"/>
  <c r="AE53" i="22" s="1"/>
  <c r="AG53" i="22" s="1"/>
  <c r="T52" i="22"/>
  <c r="U52" i="22" s="1"/>
  <c r="V52" i="22" s="1"/>
  <c r="W52" i="22" s="1"/>
  <c r="X52" i="22" s="1"/>
  <c r="Y52" i="22" s="1"/>
  <c r="Z52" i="22" s="1"/>
  <c r="AA52" i="22" s="1"/>
  <c r="AB52" i="22" s="1"/>
  <c r="AC52" i="22" s="1"/>
  <c r="AD52" i="22" s="1"/>
  <c r="AE52" i="22" s="1"/>
  <c r="AG52" i="22" s="1"/>
  <c r="T51" i="22"/>
  <c r="T50" i="22"/>
  <c r="U50" i="22" s="1"/>
  <c r="V50" i="22" s="1"/>
  <c r="W50" i="22" s="1"/>
  <c r="X50" i="22" s="1"/>
  <c r="Y50" i="22" s="1"/>
  <c r="Z50" i="22" s="1"/>
  <c r="AA50" i="22" s="1"/>
  <c r="AB50" i="22" s="1"/>
  <c r="AC50" i="22" s="1"/>
  <c r="AD50" i="22" s="1"/>
  <c r="AE50" i="22" s="1"/>
  <c r="AG50" i="22" s="1"/>
  <c r="T49" i="22"/>
  <c r="U49" i="22" s="1"/>
  <c r="V49" i="22" s="1"/>
  <c r="W49" i="22" s="1"/>
  <c r="X49" i="22" s="1"/>
  <c r="Y49" i="22" s="1"/>
  <c r="Z49" i="22" s="1"/>
  <c r="AA49" i="22" s="1"/>
  <c r="AB49" i="22" s="1"/>
  <c r="AC49" i="22" s="1"/>
  <c r="AD49" i="22" s="1"/>
  <c r="AE49" i="22" s="1"/>
  <c r="AG49" i="22" s="1"/>
  <c r="V48" i="22"/>
  <c r="W48" i="22" s="1"/>
  <c r="X48" i="22" s="1"/>
  <c r="Y48" i="22" s="1"/>
  <c r="Z48" i="22" s="1"/>
  <c r="AA48" i="22" s="1"/>
  <c r="AB48" i="22" s="1"/>
  <c r="AC48" i="22" s="1"/>
  <c r="AD48" i="22" s="1"/>
  <c r="AE48" i="22" s="1"/>
  <c r="AG48" i="22" s="1"/>
  <c r="T47" i="22"/>
  <c r="T46" i="22"/>
  <c r="U46" i="22" s="1"/>
  <c r="V46" i="22" s="1"/>
  <c r="W46" i="22" s="1"/>
  <c r="X46" i="22" s="1"/>
  <c r="Y46" i="22" s="1"/>
  <c r="Z46" i="22" s="1"/>
  <c r="AA46" i="22" s="1"/>
  <c r="AB46" i="22" s="1"/>
  <c r="AC46" i="22" s="1"/>
  <c r="AD46" i="22" s="1"/>
  <c r="AE46" i="22" s="1"/>
  <c r="AG46" i="22" s="1"/>
  <c r="T45" i="22"/>
  <c r="T43" i="22"/>
  <c r="U43" i="22" s="1"/>
  <c r="V43" i="22" s="1"/>
  <c r="W43" i="22" s="1"/>
  <c r="X43" i="22" s="1"/>
  <c r="Y43" i="22" s="1"/>
  <c r="Z43" i="22" s="1"/>
  <c r="AA43" i="22" s="1"/>
  <c r="AB43" i="22" s="1"/>
  <c r="AC43" i="22" s="1"/>
  <c r="AD43" i="22" s="1"/>
  <c r="AE43" i="22" s="1"/>
  <c r="AG43" i="22" s="1"/>
  <c r="T41" i="22"/>
  <c r="U41" i="22" s="1"/>
  <c r="V41" i="22" s="1"/>
  <c r="W41" i="22" s="1"/>
  <c r="X41" i="22" s="1"/>
  <c r="Y41" i="22" s="1"/>
  <c r="Z41" i="22" s="1"/>
  <c r="AA41" i="22" s="1"/>
  <c r="AB41" i="22" s="1"/>
  <c r="AC41" i="22" s="1"/>
  <c r="AD41" i="22" s="1"/>
  <c r="AE41" i="22" s="1"/>
  <c r="AG41" i="22" s="1"/>
  <c r="T40" i="22"/>
  <c r="U40" i="22" s="1"/>
  <c r="V40" i="22" s="1"/>
  <c r="W40" i="22" s="1"/>
  <c r="X40" i="22" s="1"/>
  <c r="Y40" i="22" s="1"/>
  <c r="Z40" i="22" s="1"/>
  <c r="AA40" i="22" s="1"/>
  <c r="AB40" i="22" s="1"/>
  <c r="AC40" i="22" s="1"/>
  <c r="AD40" i="22" s="1"/>
  <c r="AE40" i="22" s="1"/>
  <c r="AG40" i="22" s="1"/>
  <c r="T39" i="22"/>
  <c r="T37" i="22"/>
  <c r="U37" i="22" s="1"/>
  <c r="V37" i="22" s="1"/>
  <c r="W37" i="22" s="1"/>
  <c r="X37" i="22" s="1"/>
  <c r="Y37" i="22" s="1"/>
  <c r="Z37" i="22" s="1"/>
  <c r="AA37" i="22" s="1"/>
  <c r="AB37" i="22" s="1"/>
  <c r="AC37" i="22" s="1"/>
  <c r="AD37" i="22" s="1"/>
  <c r="AE37" i="22" s="1"/>
  <c r="AG37" i="22" s="1"/>
  <c r="T36" i="22"/>
  <c r="U36" i="22" s="1"/>
  <c r="V36" i="22" s="1"/>
  <c r="W36" i="22" s="1"/>
  <c r="X36" i="22" s="1"/>
  <c r="Y36" i="22" s="1"/>
  <c r="Z36" i="22" s="1"/>
  <c r="AA36" i="22" s="1"/>
  <c r="AB36" i="22" s="1"/>
  <c r="AC36" i="22" s="1"/>
  <c r="AD36" i="22" s="1"/>
  <c r="AE36" i="22" s="1"/>
  <c r="AG36" i="22" s="1"/>
  <c r="T35" i="22"/>
  <c r="U35" i="22" s="1"/>
  <c r="V35" i="22" s="1"/>
  <c r="W35" i="22" s="1"/>
  <c r="X35" i="22" s="1"/>
  <c r="Y35" i="22" s="1"/>
  <c r="Z35" i="22" s="1"/>
  <c r="AA35" i="22" s="1"/>
  <c r="AB35" i="22" s="1"/>
  <c r="AC35" i="22" s="1"/>
  <c r="AD35" i="22" s="1"/>
  <c r="AE35" i="22" s="1"/>
  <c r="AG35" i="22" s="1"/>
  <c r="T34" i="22"/>
  <c r="U34" i="22" s="1"/>
  <c r="V34" i="22" s="1"/>
  <c r="W34" i="22" s="1"/>
  <c r="X34" i="22" s="1"/>
  <c r="Y34" i="22" s="1"/>
  <c r="Z34" i="22" s="1"/>
  <c r="AA34" i="22" s="1"/>
  <c r="AB34" i="22" s="1"/>
  <c r="AC34" i="22" s="1"/>
  <c r="AD34" i="22" s="1"/>
  <c r="AE34" i="22" s="1"/>
  <c r="AG34" i="22" s="1"/>
  <c r="T33" i="22"/>
  <c r="U33" i="22" s="1"/>
  <c r="V33" i="22" s="1"/>
  <c r="W33" i="22" s="1"/>
  <c r="X33" i="22" s="1"/>
  <c r="Y33" i="22" s="1"/>
  <c r="Z33" i="22" s="1"/>
  <c r="AA33" i="22" s="1"/>
  <c r="AB33" i="22" s="1"/>
  <c r="AC33" i="22" s="1"/>
  <c r="AD33" i="22" s="1"/>
  <c r="AE33" i="22" s="1"/>
  <c r="AG33" i="22" s="1"/>
  <c r="T32" i="22"/>
  <c r="U32" i="22" s="1"/>
  <c r="V32" i="22" s="1"/>
  <c r="W32" i="22" s="1"/>
  <c r="X32" i="22" s="1"/>
  <c r="Y32" i="22" s="1"/>
  <c r="Z32" i="22" s="1"/>
  <c r="AA32" i="22" s="1"/>
  <c r="AB32" i="22" s="1"/>
  <c r="AC32" i="22" s="1"/>
  <c r="AD32" i="22" s="1"/>
  <c r="AE32" i="22" s="1"/>
  <c r="AG32" i="22" s="1"/>
  <c r="T31" i="22"/>
  <c r="U31" i="22" s="1"/>
  <c r="V31" i="22" s="1"/>
  <c r="W31" i="22" s="1"/>
  <c r="X31" i="22" s="1"/>
  <c r="Y31" i="22" s="1"/>
  <c r="Z31" i="22" s="1"/>
  <c r="AA31" i="22" s="1"/>
  <c r="AB31" i="22" s="1"/>
  <c r="AC31" i="22" s="1"/>
  <c r="AD31" i="22" s="1"/>
  <c r="AE31" i="22" s="1"/>
  <c r="AG31" i="22" s="1"/>
  <c r="T29" i="22"/>
  <c r="U29" i="22" s="1"/>
  <c r="V29" i="22" s="1"/>
  <c r="W29" i="22" s="1"/>
  <c r="X29" i="22" s="1"/>
  <c r="Y29" i="22" s="1"/>
  <c r="Z29" i="22" s="1"/>
  <c r="AA29" i="22" s="1"/>
  <c r="AB29" i="22" s="1"/>
  <c r="AC29" i="22" s="1"/>
  <c r="AD29" i="22" s="1"/>
  <c r="AE29" i="22" s="1"/>
  <c r="AG29" i="22" s="1"/>
  <c r="T28" i="22"/>
  <c r="U28" i="22" s="1"/>
  <c r="V28" i="22" s="1"/>
  <c r="W28" i="22" s="1"/>
  <c r="X28" i="22" s="1"/>
  <c r="Y28" i="22" s="1"/>
  <c r="Z28" i="22" s="1"/>
  <c r="AA28" i="22" s="1"/>
  <c r="AB28" i="22" s="1"/>
  <c r="AC28" i="22" s="1"/>
  <c r="AD28" i="22" s="1"/>
  <c r="AE28" i="22" s="1"/>
  <c r="AG28" i="22" s="1"/>
  <c r="T27" i="22"/>
  <c r="U27" i="22" s="1"/>
  <c r="V27" i="22" s="1"/>
  <c r="W27" i="22" s="1"/>
  <c r="X27" i="22" s="1"/>
  <c r="Y27" i="22" s="1"/>
  <c r="Z27" i="22" s="1"/>
  <c r="AA27" i="22" s="1"/>
  <c r="AB27" i="22" s="1"/>
  <c r="AC27" i="22" s="1"/>
  <c r="AD27" i="22" s="1"/>
  <c r="AE27" i="22" s="1"/>
  <c r="AG27" i="22" s="1"/>
  <c r="G26" i="22"/>
  <c r="H26" i="22" s="1"/>
  <c r="I26" i="22" s="1"/>
  <c r="J26" i="22" s="1"/>
  <c r="K26" i="22" s="1"/>
  <c r="L26" i="22" s="1"/>
  <c r="M26" i="22" s="1"/>
  <c r="N26" i="22" s="1"/>
  <c r="O26" i="22" s="1"/>
  <c r="P26" i="22" s="1"/>
  <c r="Q26" i="22" s="1"/>
  <c r="R26" i="22" s="1"/>
  <c r="T26" i="22" s="1"/>
  <c r="U26" i="22" s="1"/>
  <c r="V26" i="22" s="1"/>
  <c r="W26" i="22" s="1"/>
  <c r="X26" i="22" s="1"/>
  <c r="Y26" i="22" s="1"/>
  <c r="Z26" i="22" s="1"/>
  <c r="AA26" i="22" s="1"/>
  <c r="AB26" i="22" s="1"/>
  <c r="AC26" i="22" s="1"/>
  <c r="AD26" i="22" s="1"/>
  <c r="AE26" i="22" s="1"/>
  <c r="AG26" i="22" s="1"/>
  <c r="G24" i="22"/>
  <c r="H24" i="22" s="1"/>
  <c r="I24" i="22" s="1"/>
  <c r="J24" i="22" s="1"/>
  <c r="K24" i="22" s="1"/>
  <c r="L24" i="22" s="1"/>
  <c r="M24" i="22" s="1"/>
  <c r="N24" i="22" s="1"/>
  <c r="O24" i="22" s="1"/>
  <c r="P24" i="22" s="1"/>
  <c r="Q24" i="22" s="1"/>
  <c r="R24" i="22" s="1"/>
  <c r="T24" i="22" s="1"/>
  <c r="G23" i="22"/>
  <c r="H23" i="22" s="1"/>
  <c r="I23" i="22" s="1"/>
  <c r="J23" i="22" s="1"/>
  <c r="K23" i="22" s="1"/>
  <c r="L23" i="22" s="1"/>
  <c r="M23" i="22" s="1"/>
  <c r="N23" i="22" s="1"/>
  <c r="O23" i="22" s="1"/>
  <c r="P23" i="22" s="1"/>
  <c r="Q23" i="22" s="1"/>
  <c r="R23" i="22" s="1"/>
  <c r="T23" i="22" s="1"/>
  <c r="G22" i="22"/>
  <c r="H22" i="22" s="1"/>
  <c r="I22" i="22" s="1"/>
  <c r="J22" i="22" s="1"/>
  <c r="K22" i="22" s="1"/>
  <c r="L22" i="22" s="1"/>
  <c r="M22" i="22" s="1"/>
  <c r="N22" i="22" s="1"/>
  <c r="O22" i="22" s="1"/>
  <c r="P22" i="22" s="1"/>
  <c r="Q22" i="22" s="1"/>
  <c r="R22" i="22" s="1"/>
  <c r="T22" i="22" s="1"/>
  <c r="G21" i="22"/>
  <c r="H21" i="22" s="1"/>
  <c r="I21" i="22" s="1"/>
  <c r="J21" i="22" s="1"/>
  <c r="K21" i="22" s="1"/>
  <c r="L21" i="22" s="1"/>
  <c r="M21" i="22" s="1"/>
  <c r="N21" i="22" s="1"/>
  <c r="O21" i="22" s="1"/>
  <c r="P21" i="22" s="1"/>
  <c r="Q21" i="22" s="1"/>
  <c r="R21" i="22" s="1"/>
  <c r="T21" i="22" s="1"/>
  <c r="V13" i="22"/>
  <c r="W13" i="22" s="1"/>
  <c r="X13" i="22" s="1"/>
  <c r="Y13" i="22" s="1"/>
  <c r="Z13" i="22" s="1"/>
  <c r="AA13" i="22" s="1"/>
  <c r="AB13" i="22" s="1"/>
  <c r="AD13" i="22" s="1"/>
  <c r="AE13" i="22" s="1"/>
  <c r="AG13" i="22" s="1"/>
  <c r="G13" i="22"/>
  <c r="H13" i="22" s="1"/>
  <c r="I13" i="22" s="1"/>
  <c r="J13" i="22" s="1"/>
  <c r="K13" i="22" s="1"/>
  <c r="L13" i="22" s="1"/>
  <c r="M13" i="22" s="1"/>
  <c r="N13" i="22" s="1"/>
  <c r="O13" i="22" s="1"/>
  <c r="P13" i="22" s="1"/>
  <c r="Q13" i="22" s="1"/>
  <c r="R13" i="22" s="1"/>
  <c r="V16" i="22"/>
  <c r="W16" i="22" s="1"/>
  <c r="X16" i="22" s="1"/>
  <c r="Y16" i="22" s="1"/>
  <c r="Z16" i="22" s="1"/>
  <c r="AA16" i="22" s="1"/>
  <c r="AD16" i="22" s="1"/>
  <c r="AE16" i="22" s="1"/>
  <c r="AG16" i="22" s="1"/>
  <c r="G16" i="22"/>
  <c r="H16" i="22" s="1"/>
  <c r="I16" i="22" s="1"/>
  <c r="J16" i="22" s="1"/>
  <c r="K16" i="22" s="1"/>
  <c r="L16" i="22" s="1"/>
  <c r="M16" i="22" s="1"/>
  <c r="N16" i="22" s="1"/>
  <c r="O16" i="22" s="1"/>
  <c r="P16" i="22" s="1"/>
  <c r="Q16" i="22" s="1"/>
  <c r="R16" i="22" s="1"/>
  <c r="G18" i="22"/>
  <c r="H18" i="22" s="1"/>
  <c r="I18" i="22" s="1"/>
  <c r="J18" i="22" s="1"/>
  <c r="K18" i="22" s="1"/>
  <c r="L18" i="22" s="1"/>
  <c r="M18" i="22" s="1"/>
  <c r="N18" i="22" s="1"/>
  <c r="O18" i="22" s="1"/>
  <c r="P18" i="22" s="1"/>
  <c r="Q18" i="22" s="1"/>
  <c r="R18" i="22" s="1"/>
  <c r="T18" i="22" s="1"/>
  <c r="U18" i="22" s="1"/>
  <c r="V18" i="22" s="1"/>
  <c r="W18" i="22" s="1"/>
  <c r="X18" i="22" s="1"/>
  <c r="Y18" i="22" s="1"/>
  <c r="Z18" i="22" s="1"/>
  <c r="AA18" i="22" s="1"/>
  <c r="AB18" i="22" s="1"/>
  <c r="AC18" i="22" s="1"/>
  <c r="AD18" i="22" s="1"/>
  <c r="AE18" i="22" s="1"/>
  <c r="AG18" i="22" s="1"/>
  <c r="V15" i="22"/>
  <c r="W15" i="22" s="1"/>
  <c r="X15" i="22" s="1"/>
  <c r="Y15" i="22" s="1"/>
  <c r="Z15" i="22" s="1"/>
  <c r="AA15" i="22" s="1"/>
  <c r="AD15" i="22" s="1"/>
  <c r="AE15" i="22" s="1"/>
  <c r="AG15" i="22" s="1"/>
  <c r="G15" i="22"/>
  <c r="H15" i="22" s="1"/>
  <c r="I15" i="22" s="1"/>
  <c r="J15" i="22" s="1"/>
  <c r="K15" i="22" s="1"/>
  <c r="L15" i="22" s="1"/>
  <c r="M15" i="22" s="1"/>
  <c r="N15" i="22" s="1"/>
  <c r="O15" i="22" s="1"/>
  <c r="P15" i="22" s="1"/>
  <c r="Q15" i="22" s="1"/>
  <c r="R15" i="22" s="1"/>
  <c r="V14" i="22"/>
  <c r="W14" i="22" s="1"/>
  <c r="X14" i="22" s="1"/>
  <c r="Y14" i="22" s="1"/>
  <c r="Z14" i="22" s="1"/>
  <c r="AA14" i="22" s="1"/>
  <c r="AD14" i="22" s="1"/>
  <c r="AE14" i="22" s="1"/>
  <c r="AG14" i="22" s="1"/>
  <c r="G14" i="22"/>
  <c r="H14" i="22" s="1"/>
  <c r="I14" i="22" s="1"/>
  <c r="J14" i="22" s="1"/>
  <c r="K14" i="22" s="1"/>
  <c r="L14" i="22" s="1"/>
  <c r="M14" i="22" s="1"/>
  <c r="N14" i="22" s="1"/>
  <c r="O14" i="22" s="1"/>
  <c r="P14" i="22" s="1"/>
  <c r="Q14" i="22" s="1"/>
  <c r="R14" i="22" s="1"/>
  <c r="G17" i="22"/>
  <c r="H17" i="22" s="1"/>
  <c r="I17" i="22" s="1"/>
  <c r="J17" i="22" s="1"/>
  <c r="K17" i="22" s="1"/>
  <c r="L17" i="22" s="1"/>
  <c r="M17" i="22" s="1"/>
  <c r="N17" i="22" s="1"/>
  <c r="O17" i="22" s="1"/>
  <c r="P17" i="22" s="1"/>
  <c r="Q17" i="22" s="1"/>
  <c r="R17" i="22" s="1"/>
  <c r="T17" i="22" s="1"/>
  <c r="U17" i="22" s="1"/>
  <c r="V17" i="22" s="1"/>
  <c r="W17" i="22" s="1"/>
  <c r="X17" i="22" s="1"/>
  <c r="Y17" i="22" s="1"/>
  <c r="Z17" i="22" s="1"/>
  <c r="AA17" i="22" s="1"/>
  <c r="AB17" i="22" s="1"/>
  <c r="AC17" i="22" s="1"/>
  <c r="AD17" i="22" s="1"/>
  <c r="AE17" i="22" s="1"/>
  <c r="AG17" i="22" s="1"/>
  <c r="V12" i="22"/>
  <c r="W12" i="22" s="1"/>
  <c r="X12" i="22" s="1"/>
  <c r="Y12" i="22" s="1"/>
  <c r="Z12" i="22" s="1"/>
  <c r="AA12" i="22" s="1"/>
  <c r="AD12" i="22" s="1"/>
  <c r="AE12" i="22" s="1"/>
  <c r="AG12" i="22" s="1"/>
  <c r="G12" i="22"/>
  <c r="H12" i="22" s="1"/>
  <c r="I12" i="22" s="1"/>
  <c r="J12" i="22" s="1"/>
  <c r="K12" i="22" s="1"/>
  <c r="L12" i="22" s="1"/>
  <c r="M12" i="22" s="1"/>
  <c r="N12" i="22" s="1"/>
  <c r="O12" i="22" s="1"/>
  <c r="P12" i="22" s="1"/>
  <c r="Q12" i="22" s="1"/>
  <c r="R12" i="22" s="1"/>
  <c r="T10" i="22"/>
  <c r="U10" i="22" s="1"/>
  <c r="G10" i="22"/>
  <c r="AE107" i="22" l="1"/>
  <c r="AG110" i="22"/>
  <c r="J82" i="4"/>
  <c r="K82" i="4" s="1"/>
  <c r="L82" i="4" s="1"/>
  <c r="M82" i="4" s="1"/>
  <c r="N82" i="4" s="1"/>
  <c r="O82" i="4" s="1"/>
  <c r="Q82" i="4" s="1"/>
  <c r="R82" i="4" s="1"/>
  <c r="S82" i="4" s="1"/>
  <c r="T82" i="4" s="1"/>
  <c r="U82" i="4" s="1"/>
  <c r="K83" i="4"/>
  <c r="L83" i="4" s="1"/>
  <c r="M83" i="4" s="1"/>
  <c r="N83" i="4" s="1"/>
  <c r="O83" i="4" s="1"/>
  <c r="Q83" i="4" s="1"/>
  <c r="R83" i="4" s="1"/>
  <c r="S83" i="4" s="1"/>
  <c r="T83" i="4" s="1"/>
  <c r="U83" i="4" s="1"/>
  <c r="AW84" i="4"/>
  <c r="AX84" i="4" s="1"/>
  <c r="AY84" i="4" s="1"/>
  <c r="AZ84" i="4" s="1"/>
  <c r="BA84" i="4" s="1"/>
  <c r="BB84" i="4" s="1"/>
  <c r="AW85" i="4"/>
  <c r="AX85" i="4" s="1"/>
  <c r="AY85" i="4" s="1"/>
  <c r="AZ85" i="4" s="1"/>
  <c r="BA85" i="4" s="1"/>
  <c r="BB85" i="4" s="1"/>
  <c r="AF126" i="22"/>
  <c r="O68" i="4"/>
  <c r="R126" i="22"/>
  <c r="S126" i="22" s="1"/>
  <c r="S107" i="22" s="1"/>
  <c r="S201" i="27"/>
  <c r="S202" i="27" s="1"/>
  <c r="H11" i="22"/>
  <c r="I11" i="22" s="1"/>
  <c r="J11" i="22" s="1"/>
  <c r="K11" i="22" s="1"/>
  <c r="L11" i="22" s="1"/>
  <c r="M11" i="22" s="1"/>
  <c r="N11" i="22" s="1"/>
  <c r="O11" i="22" s="1"/>
  <c r="P11" i="22" s="1"/>
  <c r="Q11" i="22" s="1"/>
  <c r="R11" i="22" s="1"/>
  <c r="U44" i="22"/>
  <c r="V44" i="22" s="1"/>
  <c r="W44" i="22" s="1"/>
  <c r="X44" i="22" s="1"/>
  <c r="Y44" i="22" s="1"/>
  <c r="Z44" i="22" s="1"/>
  <c r="AA44" i="22" s="1"/>
  <c r="AB44" i="22" s="1"/>
  <c r="AC44" i="22" s="1"/>
  <c r="AD44" i="22" s="1"/>
  <c r="AE44" i="22" s="1"/>
  <c r="AG44" i="22" s="1"/>
  <c r="AH44" i="22" s="1"/>
  <c r="AI44" i="22" s="1"/>
  <c r="AJ44" i="22" s="1"/>
  <c r="AK44" i="22" s="1"/>
  <c r="AL44" i="22" s="1"/>
  <c r="AM44" i="22" s="1"/>
  <c r="AN44" i="22" s="1"/>
  <c r="AO44" i="22" s="1"/>
  <c r="AP44" i="22" s="1"/>
  <c r="AQ44" i="22" s="1"/>
  <c r="AR44" i="22" s="1"/>
  <c r="AT44" i="22" s="1"/>
  <c r="I19" i="22"/>
  <c r="J19" i="22" s="1"/>
  <c r="K19" i="22" s="1"/>
  <c r="L19" i="22" s="1"/>
  <c r="M19" i="22" s="1"/>
  <c r="N19" i="22" s="1"/>
  <c r="O19" i="22" s="1"/>
  <c r="P19" i="22" s="1"/>
  <c r="Q19" i="22" s="1"/>
  <c r="R19" i="22" s="1"/>
  <c r="H96" i="22"/>
  <c r="I96" i="22" s="1"/>
  <c r="J96" i="22" s="1"/>
  <c r="K96" i="22" s="1"/>
  <c r="L96" i="22" s="1"/>
  <c r="M96" i="22" s="1"/>
  <c r="N96" i="22" s="1"/>
  <c r="O96" i="22" s="1"/>
  <c r="P96" i="22" s="1"/>
  <c r="Q96" i="22" s="1"/>
  <c r="R96" i="22" s="1"/>
  <c r="T96" i="22" s="1"/>
  <c r="U96" i="22" s="1"/>
  <c r="AF88" i="22"/>
  <c r="AF95" i="22"/>
  <c r="AF15" i="22"/>
  <c r="AF16" i="22"/>
  <c r="AF89" i="22"/>
  <c r="U39" i="22"/>
  <c r="V39" i="22" s="1"/>
  <c r="W39" i="22" s="1"/>
  <c r="X39" i="22" s="1"/>
  <c r="Y39" i="22" s="1"/>
  <c r="Z39" i="22" s="1"/>
  <c r="AA39" i="22" s="1"/>
  <c r="AB39" i="22" s="1"/>
  <c r="AC39" i="22" s="1"/>
  <c r="AD39" i="22" s="1"/>
  <c r="AE39" i="22" s="1"/>
  <c r="AG39" i="22" s="1"/>
  <c r="AH39" i="22" s="1"/>
  <c r="AI39" i="22" s="1"/>
  <c r="AJ39" i="22" s="1"/>
  <c r="AK39" i="22" s="1"/>
  <c r="AL39" i="22" s="1"/>
  <c r="AM39" i="22" s="1"/>
  <c r="AN39" i="22" s="1"/>
  <c r="AO39" i="22" s="1"/>
  <c r="AP39" i="22" s="1"/>
  <c r="AQ39" i="22" s="1"/>
  <c r="AR39" i="22" s="1"/>
  <c r="AT39" i="22" s="1"/>
  <c r="U51" i="22"/>
  <c r="V51" i="22" s="1"/>
  <c r="W51" i="22" s="1"/>
  <c r="X51" i="22" s="1"/>
  <c r="Y51" i="22" s="1"/>
  <c r="Z51" i="22" s="1"/>
  <c r="AA51" i="22" s="1"/>
  <c r="AB51" i="22" s="1"/>
  <c r="AC51" i="22" s="1"/>
  <c r="AD51" i="22" s="1"/>
  <c r="AE51" i="22" s="1"/>
  <c r="AG51" i="22" s="1"/>
  <c r="AH51" i="22" s="1"/>
  <c r="AI51" i="22" s="1"/>
  <c r="AJ51" i="22" s="1"/>
  <c r="AK51" i="22" s="1"/>
  <c r="AL51" i="22" s="1"/>
  <c r="AM51" i="22" s="1"/>
  <c r="AN51" i="22" s="1"/>
  <c r="AO51" i="22" s="1"/>
  <c r="AP51" i="22" s="1"/>
  <c r="AQ51" i="22" s="1"/>
  <c r="AR51" i="22" s="1"/>
  <c r="AT51" i="22" s="1"/>
  <c r="H72" i="22"/>
  <c r="I72" i="22" s="1"/>
  <c r="J72" i="22" s="1"/>
  <c r="K72" i="22" s="1"/>
  <c r="L72" i="22" s="1"/>
  <c r="M72" i="22" s="1"/>
  <c r="N72" i="22" s="1"/>
  <c r="O72" i="22" s="1"/>
  <c r="P72" i="22" s="1"/>
  <c r="Q72" i="22" s="1"/>
  <c r="R72" i="22" s="1"/>
  <c r="T72" i="22" s="1"/>
  <c r="U72" i="22" s="1"/>
  <c r="V72" i="22" s="1"/>
  <c r="W72" i="22" s="1"/>
  <c r="X72" i="22" s="1"/>
  <c r="Y72" i="22" s="1"/>
  <c r="Z72" i="22" s="1"/>
  <c r="AA72" i="22" s="1"/>
  <c r="AB72" i="22" s="1"/>
  <c r="AC72" i="22" s="1"/>
  <c r="AD72" i="22" s="1"/>
  <c r="AE72" i="22" s="1"/>
  <c r="AG72" i="22" s="1"/>
  <c r="H77" i="22"/>
  <c r="I77" i="22" s="1"/>
  <c r="J77" i="22" s="1"/>
  <c r="K77" i="22" s="1"/>
  <c r="L77" i="22" s="1"/>
  <c r="M77" i="22" s="1"/>
  <c r="N77" i="22" s="1"/>
  <c r="O77" i="22" s="1"/>
  <c r="P77" i="22" s="1"/>
  <c r="Q77" i="22" s="1"/>
  <c r="R77" i="22" s="1"/>
  <c r="T77" i="22" s="1"/>
  <c r="U77" i="22" s="1"/>
  <c r="V77" i="22" s="1"/>
  <c r="W77" i="22" s="1"/>
  <c r="X77" i="22" s="1"/>
  <c r="Y77" i="22" s="1"/>
  <c r="Z77" i="22" s="1"/>
  <c r="AA77" i="22" s="1"/>
  <c r="AB77" i="22" s="1"/>
  <c r="AC77" i="22" s="1"/>
  <c r="AD77" i="22" s="1"/>
  <c r="AE77" i="22" s="1"/>
  <c r="AG77" i="22" s="1"/>
  <c r="U90" i="22"/>
  <c r="V90" i="22" s="1"/>
  <c r="W90" i="22" s="1"/>
  <c r="X90" i="22" s="1"/>
  <c r="Y90" i="22" s="1"/>
  <c r="Z90" i="22" s="1"/>
  <c r="AA90" i="22" s="1"/>
  <c r="AB90" i="22" s="1"/>
  <c r="AC90" i="22" s="1"/>
  <c r="AD90" i="22" s="1"/>
  <c r="AE90" i="22" s="1"/>
  <c r="AG90" i="22" s="1"/>
  <c r="AH90" i="22" s="1"/>
  <c r="AI90" i="22" s="1"/>
  <c r="AJ90" i="22" s="1"/>
  <c r="AK90" i="22" s="1"/>
  <c r="AL90" i="22" s="1"/>
  <c r="AM90" i="22" s="1"/>
  <c r="AN90" i="22" s="1"/>
  <c r="AO90" i="22" s="1"/>
  <c r="AP90" i="22" s="1"/>
  <c r="AQ90" i="22" s="1"/>
  <c r="AR90" i="22" s="1"/>
  <c r="AT90" i="22" s="1"/>
  <c r="AF17" i="22"/>
  <c r="AF80" i="22"/>
  <c r="U78" i="22"/>
  <c r="V78" i="22" s="1"/>
  <c r="W78" i="22" s="1"/>
  <c r="X78" i="22" s="1"/>
  <c r="Y78" i="22" s="1"/>
  <c r="Z78" i="22" s="1"/>
  <c r="AA78" i="22" s="1"/>
  <c r="AB78" i="22" s="1"/>
  <c r="AC78" i="22" s="1"/>
  <c r="AD78" i="22" s="1"/>
  <c r="AE78" i="22" s="1"/>
  <c r="AG78" i="22" s="1"/>
  <c r="AH78" i="22" s="1"/>
  <c r="AI78" i="22" s="1"/>
  <c r="AJ78" i="22" s="1"/>
  <c r="AK78" i="22" s="1"/>
  <c r="AL78" i="22" s="1"/>
  <c r="AM78" i="22" s="1"/>
  <c r="AN78" i="22" s="1"/>
  <c r="AO78" i="22" s="1"/>
  <c r="AP78" i="22" s="1"/>
  <c r="AQ78" i="22" s="1"/>
  <c r="AR78" i="22" s="1"/>
  <c r="AT78" i="22" s="1"/>
  <c r="S76" i="22"/>
  <c r="U76" i="22"/>
  <c r="S65" i="22"/>
  <c r="U65" i="22"/>
  <c r="V65" i="22" s="1"/>
  <c r="W65" i="22" s="1"/>
  <c r="X65" i="22" s="1"/>
  <c r="Y65" i="22" s="1"/>
  <c r="Z65" i="22" s="1"/>
  <c r="AA65" i="22" s="1"/>
  <c r="AB65" i="22" s="1"/>
  <c r="AC65" i="22" s="1"/>
  <c r="AD65" i="22" s="1"/>
  <c r="AE65" i="22" s="1"/>
  <c r="AG65" i="22" s="1"/>
  <c r="AH65" i="22" s="1"/>
  <c r="AI65" i="22" s="1"/>
  <c r="AJ65" i="22" s="1"/>
  <c r="AK65" i="22" s="1"/>
  <c r="AL65" i="22" s="1"/>
  <c r="AM65" i="22" s="1"/>
  <c r="AN65" i="22" s="1"/>
  <c r="AO65" i="22" s="1"/>
  <c r="AP65" i="22" s="1"/>
  <c r="AQ65" i="22" s="1"/>
  <c r="AR65" i="22" s="1"/>
  <c r="AT65" i="22" s="1"/>
  <c r="G102" i="22"/>
  <c r="G7" i="22" s="1"/>
  <c r="S98" i="22"/>
  <c r="S74" i="22"/>
  <c r="S70" i="22"/>
  <c r="S68" i="22"/>
  <c r="S66" i="22"/>
  <c r="U64" i="22"/>
  <c r="V64" i="22" s="1"/>
  <c r="W64" i="22" s="1"/>
  <c r="X64" i="22" s="1"/>
  <c r="Y64" i="22" s="1"/>
  <c r="Z64" i="22" s="1"/>
  <c r="AA64" i="22" s="1"/>
  <c r="AB64" i="22" s="1"/>
  <c r="AC64" i="22" s="1"/>
  <c r="AD64" i="22" s="1"/>
  <c r="AE64" i="22" s="1"/>
  <c r="AG64" i="22" s="1"/>
  <c r="AH64" i="22" s="1"/>
  <c r="AI64" i="22" s="1"/>
  <c r="AJ64" i="22" s="1"/>
  <c r="AK64" i="22" s="1"/>
  <c r="AL64" i="22" s="1"/>
  <c r="AM64" i="22" s="1"/>
  <c r="AN64" i="22" s="1"/>
  <c r="AO64" i="22" s="1"/>
  <c r="AP64" i="22" s="1"/>
  <c r="AQ64" i="22" s="1"/>
  <c r="AR64" i="22" s="1"/>
  <c r="AT64" i="22" s="1"/>
  <c r="U63" i="22"/>
  <c r="V63" i="22" s="1"/>
  <c r="W63" i="22" s="1"/>
  <c r="X63" i="22" s="1"/>
  <c r="Y63" i="22" s="1"/>
  <c r="Z63" i="22" s="1"/>
  <c r="AA63" i="22" s="1"/>
  <c r="AB63" i="22" s="1"/>
  <c r="AC63" i="22" s="1"/>
  <c r="AD63" i="22" s="1"/>
  <c r="AE63" i="22" s="1"/>
  <c r="AG63" i="22" s="1"/>
  <c r="AH63" i="22" s="1"/>
  <c r="AI63" i="22" s="1"/>
  <c r="AJ63" i="22" s="1"/>
  <c r="AK63" i="22" s="1"/>
  <c r="AL63" i="22" s="1"/>
  <c r="AM63" i="22" s="1"/>
  <c r="AN63" i="22" s="1"/>
  <c r="AO63" i="22" s="1"/>
  <c r="AP63" i="22" s="1"/>
  <c r="AQ63" i="22" s="1"/>
  <c r="AR63" i="22" s="1"/>
  <c r="AT63" i="22" s="1"/>
  <c r="U61" i="22"/>
  <c r="V61" i="22" s="1"/>
  <c r="W61" i="22" s="1"/>
  <c r="X61" i="22" s="1"/>
  <c r="Y61" i="22" s="1"/>
  <c r="Z61" i="22" s="1"/>
  <c r="AA61" i="22" s="1"/>
  <c r="AB61" i="22" s="1"/>
  <c r="AC61" i="22" s="1"/>
  <c r="AD61" i="22" s="1"/>
  <c r="AE61" i="22" s="1"/>
  <c r="AG61" i="22" s="1"/>
  <c r="AH61" i="22" s="1"/>
  <c r="AI61" i="22" s="1"/>
  <c r="AJ61" i="22" s="1"/>
  <c r="AK61" i="22" s="1"/>
  <c r="AL61" i="22" s="1"/>
  <c r="AM61" i="22" s="1"/>
  <c r="AN61" i="22" s="1"/>
  <c r="AO61" i="22" s="1"/>
  <c r="AP61" i="22" s="1"/>
  <c r="AQ61" i="22" s="1"/>
  <c r="AR61" i="22" s="1"/>
  <c r="AT61" i="22" s="1"/>
  <c r="U60" i="22"/>
  <c r="V60" i="22" s="1"/>
  <c r="W60" i="22" s="1"/>
  <c r="X60" i="22" s="1"/>
  <c r="Y60" i="22" s="1"/>
  <c r="Z60" i="22" s="1"/>
  <c r="AA60" i="22" s="1"/>
  <c r="AB60" i="22" s="1"/>
  <c r="AC60" i="22" s="1"/>
  <c r="AD60" i="22" s="1"/>
  <c r="AE60" i="22" s="1"/>
  <c r="AG60" i="22" s="1"/>
  <c r="AH60" i="22" s="1"/>
  <c r="AI60" i="22" s="1"/>
  <c r="AJ60" i="22" s="1"/>
  <c r="AK60" i="22" s="1"/>
  <c r="AL60" i="22" s="1"/>
  <c r="AM60" i="22" s="1"/>
  <c r="AN60" i="22" s="1"/>
  <c r="AO60" i="22" s="1"/>
  <c r="AP60" i="22" s="1"/>
  <c r="AQ60" i="22" s="1"/>
  <c r="AR60" i="22" s="1"/>
  <c r="AT60" i="22" s="1"/>
  <c r="U55" i="22"/>
  <c r="V55" i="22" s="1"/>
  <c r="W55" i="22" s="1"/>
  <c r="X55" i="22" s="1"/>
  <c r="Y55" i="22" s="1"/>
  <c r="Z55" i="22" s="1"/>
  <c r="AA55" i="22" s="1"/>
  <c r="AB55" i="22" s="1"/>
  <c r="AC55" i="22" s="1"/>
  <c r="AD55" i="22" s="1"/>
  <c r="AE55" i="22" s="1"/>
  <c r="AG55" i="22" s="1"/>
  <c r="AH55" i="22" s="1"/>
  <c r="AI55" i="22" s="1"/>
  <c r="AJ55" i="22" s="1"/>
  <c r="AK55" i="22" s="1"/>
  <c r="AL55" i="22" s="1"/>
  <c r="AM55" i="22" s="1"/>
  <c r="AN55" i="22" s="1"/>
  <c r="AO55" i="22" s="1"/>
  <c r="AP55" i="22" s="1"/>
  <c r="AQ55" i="22" s="1"/>
  <c r="AR55" i="22" s="1"/>
  <c r="AT55" i="22" s="1"/>
  <c r="U47" i="22"/>
  <c r="V47" i="22" s="1"/>
  <c r="W47" i="22" s="1"/>
  <c r="X47" i="22" s="1"/>
  <c r="Y47" i="22" s="1"/>
  <c r="Z47" i="22" s="1"/>
  <c r="AA47" i="22" s="1"/>
  <c r="AB47" i="22" s="1"/>
  <c r="AC47" i="22" s="1"/>
  <c r="AD47" i="22" s="1"/>
  <c r="AE47" i="22" s="1"/>
  <c r="AG47" i="22" s="1"/>
  <c r="AH47" i="22" s="1"/>
  <c r="AI47" i="22" s="1"/>
  <c r="AJ47" i="22" s="1"/>
  <c r="AK47" i="22" s="1"/>
  <c r="AL47" i="22" s="1"/>
  <c r="AM47" i="22" s="1"/>
  <c r="AN47" i="22" s="1"/>
  <c r="AO47" i="22" s="1"/>
  <c r="AP47" i="22" s="1"/>
  <c r="AQ47" i="22" s="1"/>
  <c r="AR47" i="22" s="1"/>
  <c r="AT47" i="22" s="1"/>
  <c r="U45" i="22"/>
  <c r="V45" i="22" s="1"/>
  <c r="W45" i="22" s="1"/>
  <c r="X45" i="22" s="1"/>
  <c r="Y45" i="22" s="1"/>
  <c r="Z45" i="22" s="1"/>
  <c r="AA45" i="22" s="1"/>
  <c r="AB45" i="22" s="1"/>
  <c r="AC45" i="22" s="1"/>
  <c r="AD45" i="22" s="1"/>
  <c r="AE45" i="22" s="1"/>
  <c r="AG45" i="22" s="1"/>
  <c r="AH45" i="22" s="1"/>
  <c r="AI45" i="22" s="1"/>
  <c r="AJ45" i="22" s="1"/>
  <c r="AK45" i="22" s="1"/>
  <c r="AL45" i="22" s="1"/>
  <c r="AM45" i="22" s="1"/>
  <c r="AN45" i="22" s="1"/>
  <c r="AO45" i="22" s="1"/>
  <c r="AP45" i="22" s="1"/>
  <c r="AQ45" i="22" s="1"/>
  <c r="AR45" i="22" s="1"/>
  <c r="AT45" i="22" s="1"/>
  <c r="AF12" i="22"/>
  <c r="AH17" i="22"/>
  <c r="AI17" i="22" s="1"/>
  <c r="AJ17" i="22" s="1"/>
  <c r="AK17" i="22" s="1"/>
  <c r="AL17" i="22" s="1"/>
  <c r="AM17" i="22" s="1"/>
  <c r="AN17" i="22" s="1"/>
  <c r="AO17" i="22" s="1"/>
  <c r="AP17" i="22" s="1"/>
  <c r="AQ17" i="22" s="1"/>
  <c r="AR17" i="22" s="1"/>
  <c r="AT17" i="22" s="1"/>
  <c r="AF14" i="22"/>
  <c r="AH15" i="22"/>
  <c r="AI15" i="22" s="1"/>
  <c r="AJ15" i="22" s="1"/>
  <c r="AK15" i="22" s="1"/>
  <c r="AL15" i="22" s="1"/>
  <c r="AM15" i="22" s="1"/>
  <c r="AN15" i="22" s="1"/>
  <c r="AO15" i="22" s="1"/>
  <c r="AP15" i="22" s="1"/>
  <c r="AQ15" i="22" s="1"/>
  <c r="AR15" i="22" s="1"/>
  <c r="AT15" i="22" s="1"/>
  <c r="AF18" i="22"/>
  <c r="AH16" i="22"/>
  <c r="AI16" i="22" s="1"/>
  <c r="AJ16" i="22" s="1"/>
  <c r="AK16" i="22" s="1"/>
  <c r="AL16" i="22" s="1"/>
  <c r="AM16" i="22" s="1"/>
  <c r="AN16" i="22" s="1"/>
  <c r="AO16" i="22" s="1"/>
  <c r="AP16" i="22" s="1"/>
  <c r="AQ16" i="22" s="1"/>
  <c r="AR16" i="22" s="1"/>
  <c r="AT16" i="22" s="1"/>
  <c r="U22" i="22"/>
  <c r="V22" i="22" s="1"/>
  <c r="W22" i="22" s="1"/>
  <c r="X22" i="22" s="1"/>
  <c r="Y22" i="22" s="1"/>
  <c r="Z22" i="22" s="1"/>
  <c r="AA22" i="22" s="1"/>
  <c r="AB22" i="22" s="1"/>
  <c r="AC22" i="22" s="1"/>
  <c r="AD22" i="22" s="1"/>
  <c r="AE22" i="22" s="1"/>
  <c r="AG22" i="22" s="1"/>
  <c r="AH22" i="22" s="1"/>
  <c r="AI22" i="22" s="1"/>
  <c r="AJ22" i="22" s="1"/>
  <c r="AK22" i="22" s="1"/>
  <c r="AL22" i="22" s="1"/>
  <c r="AM22" i="22" s="1"/>
  <c r="AN22" i="22" s="1"/>
  <c r="AO22" i="22" s="1"/>
  <c r="AP22" i="22" s="1"/>
  <c r="AQ22" i="22" s="1"/>
  <c r="AR22" i="22" s="1"/>
  <c r="AT22" i="22" s="1"/>
  <c r="U24" i="22"/>
  <c r="V24" i="22" s="1"/>
  <c r="W24" i="22" s="1"/>
  <c r="X24" i="22" s="1"/>
  <c r="Y24" i="22" s="1"/>
  <c r="Z24" i="22" s="1"/>
  <c r="AA24" i="22" s="1"/>
  <c r="AB24" i="22" s="1"/>
  <c r="AC24" i="22" s="1"/>
  <c r="AD24" i="22" s="1"/>
  <c r="AE24" i="22" s="1"/>
  <c r="AG24" i="22" s="1"/>
  <c r="AH24" i="22" s="1"/>
  <c r="AI24" i="22" s="1"/>
  <c r="AJ24" i="22" s="1"/>
  <c r="AK24" i="22" s="1"/>
  <c r="AL24" i="22" s="1"/>
  <c r="AM24" i="22" s="1"/>
  <c r="AN24" i="22" s="1"/>
  <c r="AO24" i="22" s="1"/>
  <c r="AP24" i="22" s="1"/>
  <c r="AQ24" i="22" s="1"/>
  <c r="AR24" i="22" s="1"/>
  <c r="AT24" i="22" s="1"/>
  <c r="AH27" i="22"/>
  <c r="AI27" i="22" s="1"/>
  <c r="AJ27" i="22" s="1"/>
  <c r="AK27" i="22" s="1"/>
  <c r="AL27" i="22" s="1"/>
  <c r="AM27" i="22" s="1"/>
  <c r="AN27" i="22" s="1"/>
  <c r="AO27" i="22" s="1"/>
  <c r="AP27" i="22" s="1"/>
  <c r="AQ27" i="22" s="1"/>
  <c r="AR27" i="22" s="1"/>
  <c r="AT27" i="22" s="1"/>
  <c r="AH33" i="22"/>
  <c r="AI33" i="22" s="1"/>
  <c r="AJ33" i="22" s="1"/>
  <c r="AK33" i="22" s="1"/>
  <c r="AL33" i="22" s="1"/>
  <c r="AM33" i="22" s="1"/>
  <c r="AN33" i="22" s="1"/>
  <c r="AO33" i="22" s="1"/>
  <c r="AP33" i="22" s="1"/>
  <c r="AQ33" i="22" s="1"/>
  <c r="AR33" i="22" s="1"/>
  <c r="AT33" i="22" s="1"/>
  <c r="AH35" i="22"/>
  <c r="AI35" i="22" s="1"/>
  <c r="AJ35" i="22" s="1"/>
  <c r="AK35" i="22" s="1"/>
  <c r="AL35" i="22" s="1"/>
  <c r="AM35" i="22" s="1"/>
  <c r="AN35" i="22" s="1"/>
  <c r="AO35" i="22" s="1"/>
  <c r="AP35" i="22" s="1"/>
  <c r="AQ35" i="22" s="1"/>
  <c r="AR35" i="22" s="1"/>
  <c r="AT35" i="22" s="1"/>
  <c r="AH36" i="22"/>
  <c r="AI36" i="22" s="1"/>
  <c r="AJ36" i="22" s="1"/>
  <c r="AK36" i="22" s="1"/>
  <c r="AL36" i="22" s="1"/>
  <c r="AM36" i="22" s="1"/>
  <c r="AN36" i="22" s="1"/>
  <c r="AO36" i="22" s="1"/>
  <c r="AP36" i="22" s="1"/>
  <c r="AQ36" i="22" s="1"/>
  <c r="AR36" i="22" s="1"/>
  <c r="AT36" i="22" s="1"/>
  <c r="AH12" i="22"/>
  <c r="AI12" i="22" s="1"/>
  <c r="AJ12" i="22" s="1"/>
  <c r="AK12" i="22" s="1"/>
  <c r="AL12" i="22" s="1"/>
  <c r="AM12" i="22" s="1"/>
  <c r="AN12" i="22" s="1"/>
  <c r="AO12" i="22" s="1"/>
  <c r="AP12" i="22" s="1"/>
  <c r="AQ12" i="22" s="1"/>
  <c r="AR12" i="22" s="1"/>
  <c r="AT12" i="22" s="1"/>
  <c r="AH14" i="22"/>
  <c r="AI14" i="22" s="1"/>
  <c r="AJ14" i="22" s="1"/>
  <c r="AK14" i="22" s="1"/>
  <c r="AL14" i="22" s="1"/>
  <c r="AM14" i="22" s="1"/>
  <c r="AN14" i="22" s="1"/>
  <c r="AO14" i="22" s="1"/>
  <c r="AP14" i="22" s="1"/>
  <c r="AQ14" i="22" s="1"/>
  <c r="AR14" i="22" s="1"/>
  <c r="AT14" i="22" s="1"/>
  <c r="AH18" i="22"/>
  <c r="AI18" i="22" s="1"/>
  <c r="AJ18" i="22" s="1"/>
  <c r="AK18" i="22" s="1"/>
  <c r="AL18" i="22" s="1"/>
  <c r="AM18" i="22" s="1"/>
  <c r="AN18" i="22" s="1"/>
  <c r="AO18" i="22" s="1"/>
  <c r="AP18" i="22" s="1"/>
  <c r="AQ18" i="22" s="1"/>
  <c r="AR18" i="22" s="1"/>
  <c r="AT18" i="22" s="1"/>
  <c r="AH13" i="22"/>
  <c r="AI13" i="22" s="1"/>
  <c r="AJ13" i="22" s="1"/>
  <c r="AK13" i="22" s="1"/>
  <c r="AL13" i="22" s="1"/>
  <c r="AM13" i="22" s="1"/>
  <c r="AN13" i="22" s="1"/>
  <c r="AO13" i="22" s="1"/>
  <c r="AP13" i="22" s="1"/>
  <c r="AQ13" i="22" s="1"/>
  <c r="AR13" i="22" s="1"/>
  <c r="AT13" i="22" s="1"/>
  <c r="U21" i="22"/>
  <c r="V21" i="22" s="1"/>
  <c r="W21" i="22" s="1"/>
  <c r="X21" i="22" s="1"/>
  <c r="Y21" i="22" s="1"/>
  <c r="Z21" i="22" s="1"/>
  <c r="AA21" i="22" s="1"/>
  <c r="AB21" i="22" s="1"/>
  <c r="AC21" i="22" s="1"/>
  <c r="AD21" i="22" s="1"/>
  <c r="AE21" i="22" s="1"/>
  <c r="AG21" i="22" s="1"/>
  <c r="AH21" i="22" s="1"/>
  <c r="AI21" i="22" s="1"/>
  <c r="AJ21" i="22" s="1"/>
  <c r="AK21" i="22" s="1"/>
  <c r="AL21" i="22" s="1"/>
  <c r="AM21" i="22" s="1"/>
  <c r="AN21" i="22" s="1"/>
  <c r="AO21" i="22" s="1"/>
  <c r="AP21" i="22" s="1"/>
  <c r="AQ21" i="22" s="1"/>
  <c r="AR21" i="22" s="1"/>
  <c r="AT21" i="22" s="1"/>
  <c r="U23" i="22"/>
  <c r="V23" i="22" s="1"/>
  <c r="W23" i="22" s="1"/>
  <c r="X23" i="22" s="1"/>
  <c r="Y23" i="22" s="1"/>
  <c r="Z23" i="22" s="1"/>
  <c r="AA23" i="22" s="1"/>
  <c r="AB23" i="22" s="1"/>
  <c r="AC23" i="22" s="1"/>
  <c r="AD23" i="22" s="1"/>
  <c r="AE23" i="22" s="1"/>
  <c r="AG23" i="22" s="1"/>
  <c r="AH23" i="22" s="1"/>
  <c r="AI23" i="22" s="1"/>
  <c r="AJ23" i="22" s="1"/>
  <c r="AK23" i="22" s="1"/>
  <c r="AL23" i="22" s="1"/>
  <c r="AM23" i="22" s="1"/>
  <c r="AN23" i="22" s="1"/>
  <c r="AO23" i="22" s="1"/>
  <c r="AP23" i="22" s="1"/>
  <c r="AQ23" i="22" s="1"/>
  <c r="AR23" i="22" s="1"/>
  <c r="AT23" i="22" s="1"/>
  <c r="AH26" i="22"/>
  <c r="AI26" i="22" s="1"/>
  <c r="AJ26" i="22" s="1"/>
  <c r="AK26" i="22" s="1"/>
  <c r="AL26" i="22" s="1"/>
  <c r="AM26" i="22" s="1"/>
  <c r="AN26" i="22" s="1"/>
  <c r="AO26" i="22" s="1"/>
  <c r="AP26" i="22" s="1"/>
  <c r="AQ26" i="22" s="1"/>
  <c r="AR26" i="22" s="1"/>
  <c r="AT26" i="22" s="1"/>
  <c r="AH31" i="22"/>
  <c r="AI31" i="22" s="1"/>
  <c r="AJ31" i="22" s="1"/>
  <c r="AK31" i="22" s="1"/>
  <c r="AL31" i="22" s="1"/>
  <c r="AM31" i="22" s="1"/>
  <c r="AN31" i="22" s="1"/>
  <c r="AO31" i="22" s="1"/>
  <c r="AP31" i="22" s="1"/>
  <c r="AQ31" i="22" s="1"/>
  <c r="AR31" i="22" s="1"/>
  <c r="AT31" i="22" s="1"/>
  <c r="AH32" i="22"/>
  <c r="AI32" i="22" s="1"/>
  <c r="AJ32" i="22" s="1"/>
  <c r="AK32" i="22" s="1"/>
  <c r="AL32" i="22" s="1"/>
  <c r="AM32" i="22" s="1"/>
  <c r="AN32" i="22" s="1"/>
  <c r="AO32" i="22" s="1"/>
  <c r="AP32" i="22" s="1"/>
  <c r="AQ32" i="22" s="1"/>
  <c r="AR32" i="22" s="1"/>
  <c r="AT32" i="22" s="1"/>
  <c r="AH34" i="22"/>
  <c r="AI34" i="22" s="1"/>
  <c r="AJ34" i="22" s="1"/>
  <c r="AK34" i="22" s="1"/>
  <c r="AL34" i="22" s="1"/>
  <c r="AM34" i="22" s="1"/>
  <c r="AN34" i="22" s="1"/>
  <c r="AO34" i="22" s="1"/>
  <c r="AP34" i="22" s="1"/>
  <c r="AQ34" i="22" s="1"/>
  <c r="AR34" i="22" s="1"/>
  <c r="AT34" i="22" s="1"/>
  <c r="S12" i="22"/>
  <c r="S17" i="22"/>
  <c r="S14" i="22"/>
  <c r="S15" i="22"/>
  <c r="S18" i="22"/>
  <c r="S16" i="22"/>
  <c r="AF13" i="22"/>
  <c r="S23" i="22"/>
  <c r="S26" i="22"/>
  <c r="AF27" i="22"/>
  <c r="AF28" i="22"/>
  <c r="AH29" i="22"/>
  <c r="AI29" i="22" s="1"/>
  <c r="AJ29" i="22" s="1"/>
  <c r="AK29" i="22" s="1"/>
  <c r="AL29" i="22" s="1"/>
  <c r="AM29" i="22" s="1"/>
  <c r="AN29" i="22" s="1"/>
  <c r="AO29" i="22" s="1"/>
  <c r="AP29" i="22" s="1"/>
  <c r="AQ29" i="22" s="1"/>
  <c r="AR29" i="22" s="1"/>
  <c r="AT29" i="22" s="1"/>
  <c r="AF31" i="22"/>
  <c r="AF32" i="22"/>
  <c r="AF35" i="22"/>
  <c r="AH40" i="22"/>
  <c r="AI40" i="22" s="1"/>
  <c r="AJ40" i="22" s="1"/>
  <c r="AK40" i="22" s="1"/>
  <c r="AL40" i="22" s="1"/>
  <c r="AM40" i="22" s="1"/>
  <c r="AN40" i="22" s="1"/>
  <c r="AO40" i="22" s="1"/>
  <c r="AP40" i="22" s="1"/>
  <c r="AQ40" i="22" s="1"/>
  <c r="AR40" i="22" s="1"/>
  <c r="AT40" i="22" s="1"/>
  <c r="AH41" i="22"/>
  <c r="AI41" i="22" s="1"/>
  <c r="AJ41" i="22" s="1"/>
  <c r="AK41" i="22" s="1"/>
  <c r="AL41" i="22" s="1"/>
  <c r="AM41" i="22" s="1"/>
  <c r="AN41" i="22" s="1"/>
  <c r="AO41" i="22" s="1"/>
  <c r="AP41" i="22" s="1"/>
  <c r="AQ41" i="22" s="1"/>
  <c r="AR41" i="22" s="1"/>
  <c r="AT41" i="22" s="1"/>
  <c r="AH48" i="22"/>
  <c r="AI48" i="22" s="1"/>
  <c r="AJ48" i="22" s="1"/>
  <c r="AK48" i="22" s="1"/>
  <c r="AL48" i="22" s="1"/>
  <c r="AM48" i="22" s="1"/>
  <c r="AN48" i="22" s="1"/>
  <c r="AO48" i="22" s="1"/>
  <c r="AP48" i="22" s="1"/>
  <c r="AQ48" i="22" s="1"/>
  <c r="AR48" i="22" s="1"/>
  <c r="AT48" i="22" s="1"/>
  <c r="AH49" i="22"/>
  <c r="AI49" i="22" s="1"/>
  <c r="AJ49" i="22" s="1"/>
  <c r="AK49" i="22" s="1"/>
  <c r="AL49" i="22" s="1"/>
  <c r="AM49" i="22" s="1"/>
  <c r="AN49" i="22" s="1"/>
  <c r="AO49" i="22" s="1"/>
  <c r="AP49" i="22" s="1"/>
  <c r="AQ49" i="22" s="1"/>
  <c r="AR49" i="22" s="1"/>
  <c r="AT49" i="22" s="1"/>
  <c r="AH52" i="22"/>
  <c r="AI52" i="22" s="1"/>
  <c r="AJ52" i="22" s="1"/>
  <c r="AK52" i="22" s="1"/>
  <c r="AL52" i="22" s="1"/>
  <c r="AM52" i="22" s="1"/>
  <c r="AN52" i="22" s="1"/>
  <c r="AO52" i="22" s="1"/>
  <c r="AP52" i="22" s="1"/>
  <c r="AQ52" i="22" s="1"/>
  <c r="AR52" i="22" s="1"/>
  <c r="AT52" i="22" s="1"/>
  <c r="AH53" i="22"/>
  <c r="AI53" i="22" s="1"/>
  <c r="AJ53" i="22" s="1"/>
  <c r="AK53" i="22" s="1"/>
  <c r="AL53" i="22" s="1"/>
  <c r="AM53" i="22" s="1"/>
  <c r="AN53" i="22" s="1"/>
  <c r="AO53" i="22" s="1"/>
  <c r="AP53" i="22" s="1"/>
  <c r="AQ53" i="22" s="1"/>
  <c r="AR53" i="22" s="1"/>
  <c r="AT53" i="22" s="1"/>
  <c r="AH56" i="22"/>
  <c r="AI56" i="22" s="1"/>
  <c r="AJ56" i="22" s="1"/>
  <c r="AK56" i="22" s="1"/>
  <c r="AL56" i="22" s="1"/>
  <c r="AM56" i="22" s="1"/>
  <c r="AN56" i="22" s="1"/>
  <c r="AO56" i="22" s="1"/>
  <c r="AP56" i="22" s="1"/>
  <c r="AQ56" i="22" s="1"/>
  <c r="AR56" i="22" s="1"/>
  <c r="AT56" i="22" s="1"/>
  <c r="AH57" i="22"/>
  <c r="AI57" i="22" s="1"/>
  <c r="AJ57" i="22" s="1"/>
  <c r="AK57" i="22" s="1"/>
  <c r="AL57" i="22" s="1"/>
  <c r="AM57" i="22" s="1"/>
  <c r="AN57" i="22" s="1"/>
  <c r="AO57" i="22" s="1"/>
  <c r="AP57" i="22" s="1"/>
  <c r="AQ57" i="22" s="1"/>
  <c r="AR57" i="22" s="1"/>
  <c r="AT57" i="22" s="1"/>
  <c r="AH58" i="22"/>
  <c r="AI58" i="22" s="1"/>
  <c r="AJ58" i="22" s="1"/>
  <c r="AK58" i="22" s="1"/>
  <c r="AL58" i="22" s="1"/>
  <c r="AM58" i="22" s="1"/>
  <c r="AN58" i="22" s="1"/>
  <c r="AO58" i="22" s="1"/>
  <c r="AP58" i="22" s="1"/>
  <c r="AQ58" i="22" s="1"/>
  <c r="AR58" i="22" s="1"/>
  <c r="AT58" i="22" s="1"/>
  <c r="H10" i="22"/>
  <c r="V10" i="22"/>
  <c r="S13" i="22"/>
  <c r="S21" i="22"/>
  <c r="S22" i="22"/>
  <c r="S24" i="22"/>
  <c r="AF26" i="22"/>
  <c r="AH28" i="22"/>
  <c r="AI28" i="22" s="1"/>
  <c r="AJ28" i="22" s="1"/>
  <c r="AK28" i="22" s="1"/>
  <c r="AL28" i="22" s="1"/>
  <c r="AM28" i="22" s="1"/>
  <c r="AN28" i="22" s="1"/>
  <c r="AO28" i="22" s="1"/>
  <c r="AP28" i="22" s="1"/>
  <c r="AQ28" i="22" s="1"/>
  <c r="AR28" i="22" s="1"/>
  <c r="AT28" i="22" s="1"/>
  <c r="AF29" i="22"/>
  <c r="AF33" i="22"/>
  <c r="AF34" i="22"/>
  <c r="AF36" i="22"/>
  <c r="AH37" i="22"/>
  <c r="AI37" i="22" s="1"/>
  <c r="AJ37" i="22" s="1"/>
  <c r="AK37" i="22" s="1"/>
  <c r="AL37" i="22" s="1"/>
  <c r="AM37" i="22" s="1"/>
  <c r="AN37" i="22" s="1"/>
  <c r="AO37" i="22" s="1"/>
  <c r="AP37" i="22" s="1"/>
  <c r="AQ37" i="22" s="1"/>
  <c r="AR37" i="22" s="1"/>
  <c r="AT37" i="22" s="1"/>
  <c r="AF41" i="22"/>
  <c r="AH43" i="22"/>
  <c r="AI43" i="22" s="1"/>
  <c r="AJ43" i="22" s="1"/>
  <c r="AK43" i="22" s="1"/>
  <c r="AL43" i="22" s="1"/>
  <c r="AM43" i="22" s="1"/>
  <c r="AN43" i="22" s="1"/>
  <c r="AO43" i="22" s="1"/>
  <c r="AP43" i="22" s="1"/>
  <c r="AQ43" i="22" s="1"/>
  <c r="AR43" i="22" s="1"/>
  <c r="AT43" i="22" s="1"/>
  <c r="AH46" i="22"/>
  <c r="AI46" i="22" s="1"/>
  <c r="AJ46" i="22" s="1"/>
  <c r="AK46" i="22" s="1"/>
  <c r="AL46" i="22" s="1"/>
  <c r="AM46" i="22" s="1"/>
  <c r="AN46" i="22" s="1"/>
  <c r="AO46" i="22" s="1"/>
  <c r="AP46" i="22" s="1"/>
  <c r="AQ46" i="22" s="1"/>
  <c r="AR46" i="22" s="1"/>
  <c r="AT46" i="22" s="1"/>
  <c r="AF49" i="22"/>
  <c r="AH50" i="22"/>
  <c r="AI50" i="22" s="1"/>
  <c r="AJ50" i="22" s="1"/>
  <c r="AK50" i="22" s="1"/>
  <c r="AL50" i="22" s="1"/>
  <c r="AM50" i="22" s="1"/>
  <c r="AN50" i="22" s="1"/>
  <c r="AO50" i="22" s="1"/>
  <c r="AP50" i="22" s="1"/>
  <c r="AQ50" i="22" s="1"/>
  <c r="AR50" i="22" s="1"/>
  <c r="AT50" i="22" s="1"/>
  <c r="AF53" i="22"/>
  <c r="AH54" i="22"/>
  <c r="AI54" i="22" s="1"/>
  <c r="AJ54" i="22" s="1"/>
  <c r="AK54" i="22" s="1"/>
  <c r="AL54" i="22" s="1"/>
  <c r="AM54" i="22" s="1"/>
  <c r="AN54" i="22" s="1"/>
  <c r="AO54" i="22" s="1"/>
  <c r="AP54" i="22" s="1"/>
  <c r="AQ54" i="22" s="1"/>
  <c r="AR54" i="22" s="1"/>
  <c r="AT54" i="22" s="1"/>
  <c r="AF57" i="22"/>
  <c r="AH59" i="22"/>
  <c r="AI59" i="22" s="1"/>
  <c r="AJ59" i="22" s="1"/>
  <c r="AK59" i="22" s="1"/>
  <c r="AL59" i="22" s="1"/>
  <c r="AM59" i="22" s="1"/>
  <c r="AN59" i="22" s="1"/>
  <c r="AO59" i="22" s="1"/>
  <c r="AP59" i="22" s="1"/>
  <c r="AQ59" i="22" s="1"/>
  <c r="AR59" i="22" s="1"/>
  <c r="AT59" i="22" s="1"/>
  <c r="AF37" i="22"/>
  <c r="AF40" i="22"/>
  <c r="AF43" i="22"/>
  <c r="AF46" i="22"/>
  <c r="AF48" i="22"/>
  <c r="AF50" i="22"/>
  <c r="AF52" i="22"/>
  <c r="AF54" i="22"/>
  <c r="AF56" i="22"/>
  <c r="AF59" i="22"/>
  <c r="U66" i="22"/>
  <c r="V66" i="22" s="1"/>
  <c r="W66" i="22" s="1"/>
  <c r="X66" i="22" s="1"/>
  <c r="Y66" i="22" s="1"/>
  <c r="Z66" i="22" s="1"/>
  <c r="AA66" i="22" s="1"/>
  <c r="AB66" i="22" s="1"/>
  <c r="AC66" i="22" s="1"/>
  <c r="AD66" i="22" s="1"/>
  <c r="AE66" i="22" s="1"/>
  <c r="AG66" i="22" s="1"/>
  <c r="AH66" i="22" s="1"/>
  <c r="AI66" i="22" s="1"/>
  <c r="AJ66" i="22" s="1"/>
  <c r="AK66" i="22" s="1"/>
  <c r="AL66" i="22" s="1"/>
  <c r="AM66" i="22" s="1"/>
  <c r="AN66" i="22" s="1"/>
  <c r="AO66" i="22" s="1"/>
  <c r="AP66" i="22" s="1"/>
  <c r="AQ66" i="22" s="1"/>
  <c r="AR66" i="22" s="1"/>
  <c r="AT66" i="22" s="1"/>
  <c r="S67" i="22"/>
  <c r="S69" i="22"/>
  <c r="S71" i="22"/>
  <c r="S73" i="22"/>
  <c r="U74" i="22"/>
  <c r="V74" i="22" s="1"/>
  <c r="W74" i="22" s="1"/>
  <c r="X74" i="22" s="1"/>
  <c r="Y74" i="22" s="1"/>
  <c r="Z74" i="22" s="1"/>
  <c r="AA74" i="22" s="1"/>
  <c r="AB74" i="22" s="1"/>
  <c r="AC74" i="22" s="1"/>
  <c r="AD74" i="22" s="1"/>
  <c r="AE74" i="22" s="1"/>
  <c r="AG74" i="22" s="1"/>
  <c r="AH74" i="22" s="1"/>
  <c r="AI74" i="22" s="1"/>
  <c r="AJ74" i="22" s="1"/>
  <c r="AK74" i="22" s="1"/>
  <c r="AL74" i="22" s="1"/>
  <c r="AM74" i="22" s="1"/>
  <c r="AN74" i="22" s="1"/>
  <c r="AO74" i="22" s="1"/>
  <c r="AP74" i="22" s="1"/>
  <c r="AQ74" i="22" s="1"/>
  <c r="AR74" i="22" s="1"/>
  <c r="AT74" i="22" s="1"/>
  <c r="AF58" i="22"/>
  <c r="S63" i="22"/>
  <c r="S64" i="22"/>
  <c r="U73" i="22"/>
  <c r="V73" i="22" s="1"/>
  <c r="W73" i="22" s="1"/>
  <c r="X73" i="22" s="1"/>
  <c r="Y73" i="22" s="1"/>
  <c r="Z73" i="22" s="1"/>
  <c r="AA73" i="22" s="1"/>
  <c r="AB73" i="22" s="1"/>
  <c r="AC73" i="22" s="1"/>
  <c r="AD73" i="22" s="1"/>
  <c r="AE73" i="22" s="1"/>
  <c r="AG73" i="22" s="1"/>
  <c r="U67" i="22"/>
  <c r="V67" i="22" s="1"/>
  <c r="W67" i="22" s="1"/>
  <c r="X67" i="22" s="1"/>
  <c r="Y67" i="22" s="1"/>
  <c r="Z67" i="22" s="1"/>
  <c r="AA67" i="22" s="1"/>
  <c r="AB67" i="22" s="1"/>
  <c r="AC67" i="22" s="1"/>
  <c r="AD67" i="22" s="1"/>
  <c r="AE67" i="22" s="1"/>
  <c r="AG67" i="22" s="1"/>
  <c r="U68" i="22"/>
  <c r="V68" i="22" s="1"/>
  <c r="W68" i="22" s="1"/>
  <c r="X68" i="22" s="1"/>
  <c r="Y68" i="22" s="1"/>
  <c r="Z68" i="22" s="1"/>
  <c r="AA68" i="22" s="1"/>
  <c r="AB68" i="22" s="1"/>
  <c r="AC68" i="22" s="1"/>
  <c r="AD68" i="22" s="1"/>
  <c r="AE68" i="22" s="1"/>
  <c r="AG68" i="22" s="1"/>
  <c r="U69" i="22"/>
  <c r="V69" i="22" s="1"/>
  <c r="W69" i="22" s="1"/>
  <c r="X69" i="22" s="1"/>
  <c r="Y69" i="22" s="1"/>
  <c r="Z69" i="22" s="1"/>
  <c r="AA69" i="22" s="1"/>
  <c r="AB69" i="22" s="1"/>
  <c r="AC69" i="22" s="1"/>
  <c r="AD69" i="22" s="1"/>
  <c r="AE69" i="22" s="1"/>
  <c r="AG69" i="22" s="1"/>
  <c r="U70" i="22"/>
  <c r="V70" i="22" s="1"/>
  <c r="W70" i="22" s="1"/>
  <c r="X70" i="22" s="1"/>
  <c r="Y70" i="22" s="1"/>
  <c r="Z70" i="22" s="1"/>
  <c r="AA70" i="22" s="1"/>
  <c r="AB70" i="22" s="1"/>
  <c r="AC70" i="22" s="1"/>
  <c r="AD70" i="22" s="1"/>
  <c r="AE70" i="22" s="1"/>
  <c r="AG70" i="22" s="1"/>
  <c r="U71" i="22"/>
  <c r="V71" i="22" s="1"/>
  <c r="W71" i="22" s="1"/>
  <c r="X71" i="22" s="1"/>
  <c r="Y71" i="22" s="1"/>
  <c r="Z71" i="22" s="1"/>
  <c r="AA71" i="22" s="1"/>
  <c r="AB71" i="22" s="1"/>
  <c r="AC71" i="22" s="1"/>
  <c r="AD71" i="22" s="1"/>
  <c r="AE71" i="22" s="1"/>
  <c r="AG71" i="22" s="1"/>
  <c r="S78" i="22"/>
  <c r="S79" i="22"/>
  <c r="AH80" i="22"/>
  <c r="AI80" i="22" s="1"/>
  <c r="AJ80" i="22" s="1"/>
  <c r="AK80" i="22" s="1"/>
  <c r="AL80" i="22" s="1"/>
  <c r="AM80" i="22" s="1"/>
  <c r="AN80" i="22" s="1"/>
  <c r="AO80" i="22" s="1"/>
  <c r="AP80" i="22" s="1"/>
  <c r="AQ80" i="22" s="1"/>
  <c r="AR80" i="22" s="1"/>
  <c r="AT80" i="22" s="1"/>
  <c r="U82" i="22"/>
  <c r="V82" i="22" s="1"/>
  <c r="W82" i="22" s="1"/>
  <c r="X82" i="22" s="1"/>
  <c r="Y82" i="22" s="1"/>
  <c r="Z82" i="22" s="1"/>
  <c r="AA82" i="22" s="1"/>
  <c r="AB82" i="22" s="1"/>
  <c r="AC82" i="22" s="1"/>
  <c r="AD82" i="22" s="1"/>
  <c r="AE82" i="22" s="1"/>
  <c r="AG82" i="22" s="1"/>
  <c r="AH82" i="22" s="1"/>
  <c r="AI82" i="22" s="1"/>
  <c r="AJ82" i="22" s="1"/>
  <c r="AK82" i="22" s="1"/>
  <c r="AL82" i="22" s="1"/>
  <c r="AM82" i="22" s="1"/>
  <c r="AN82" i="22" s="1"/>
  <c r="AO82" i="22" s="1"/>
  <c r="AP82" i="22" s="1"/>
  <c r="AQ82" i="22" s="1"/>
  <c r="AR82" i="22" s="1"/>
  <c r="AT82" i="22" s="1"/>
  <c r="U79" i="22"/>
  <c r="V79" i="22" s="1"/>
  <c r="W79" i="22" s="1"/>
  <c r="X79" i="22" s="1"/>
  <c r="Y79" i="22" s="1"/>
  <c r="Z79" i="22" s="1"/>
  <c r="AA79" i="22" s="1"/>
  <c r="AB79" i="22" s="1"/>
  <c r="AC79" i="22" s="1"/>
  <c r="AD79" i="22" s="1"/>
  <c r="AE79" i="22" s="1"/>
  <c r="AG79" i="22" s="1"/>
  <c r="S82" i="22"/>
  <c r="AF83" i="22"/>
  <c r="AF84" i="22"/>
  <c r="U85" i="22"/>
  <c r="AF87" i="22"/>
  <c r="AH88" i="22"/>
  <c r="AI88" i="22" s="1"/>
  <c r="AJ88" i="22" s="1"/>
  <c r="AK88" i="22" s="1"/>
  <c r="AL88" i="22" s="1"/>
  <c r="AM88" i="22" s="1"/>
  <c r="AN88" i="22" s="1"/>
  <c r="AO88" i="22" s="1"/>
  <c r="AP88" i="22" s="1"/>
  <c r="AQ88" i="22" s="1"/>
  <c r="AR88" i="22" s="1"/>
  <c r="AT88" i="22" s="1"/>
  <c r="S80" i="22"/>
  <c r="AH83" i="22"/>
  <c r="AI83" i="22" s="1"/>
  <c r="AJ83" i="22" s="1"/>
  <c r="AK83" i="22" s="1"/>
  <c r="AL83" i="22" s="1"/>
  <c r="AM83" i="22" s="1"/>
  <c r="AN83" i="22" s="1"/>
  <c r="AO83" i="22" s="1"/>
  <c r="AP83" i="22" s="1"/>
  <c r="AQ83" i="22" s="1"/>
  <c r="AR83" i="22" s="1"/>
  <c r="AT83" i="22" s="1"/>
  <c r="AH84" i="22"/>
  <c r="AI84" i="22" s="1"/>
  <c r="AJ84" i="22" s="1"/>
  <c r="AK84" i="22" s="1"/>
  <c r="AL84" i="22" s="1"/>
  <c r="AM84" i="22" s="1"/>
  <c r="AN84" i="22" s="1"/>
  <c r="AO84" i="22" s="1"/>
  <c r="AP84" i="22" s="1"/>
  <c r="AQ84" i="22" s="1"/>
  <c r="AR84" i="22" s="1"/>
  <c r="AT84" i="22" s="1"/>
  <c r="U86" i="22"/>
  <c r="AH87" i="22"/>
  <c r="AI87" i="22" s="1"/>
  <c r="AJ87" i="22" s="1"/>
  <c r="AK87" i="22" s="1"/>
  <c r="AL87" i="22" s="1"/>
  <c r="AM87" i="22" s="1"/>
  <c r="AN87" i="22" s="1"/>
  <c r="AO87" i="22" s="1"/>
  <c r="AP87" i="22" s="1"/>
  <c r="AQ87" i="22" s="1"/>
  <c r="AR87" i="22" s="1"/>
  <c r="AT87" i="22" s="1"/>
  <c r="AH89" i="22"/>
  <c r="AI89" i="22" s="1"/>
  <c r="AJ89" i="22" s="1"/>
  <c r="AK89" i="22" s="1"/>
  <c r="AL89" i="22" s="1"/>
  <c r="AM89" i="22" s="1"/>
  <c r="AN89" i="22" s="1"/>
  <c r="AO89" i="22" s="1"/>
  <c r="AP89" i="22" s="1"/>
  <c r="AQ89" i="22" s="1"/>
  <c r="AR89" i="22" s="1"/>
  <c r="AT89" i="22" s="1"/>
  <c r="S83" i="22"/>
  <c r="S84" i="22"/>
  <c r="S85" i="22"/>
  <c r="S86" i="22"/>
  <c r="S87" i="22"/>
  <c r="S88" i="22"/>
  <c r="S89" i="22"/>
  <c r="S90" i="22"/>
  <c r="H91" i="22"/>
  <c r="I91" i="22" s="1"/>
  <c r="J91" i="22" s="1"/>
  <c r="K91" i="22" s="1"/>
  <c r="L91" i="22" s="1"/>
  <c r="M91" i="22" s="1"/>
  <c r="N91" i="22" s="1"/>
  <c r="O91" i="22" s="1"/>
  <c r="P91" i="22" s="1"/>
  <c r="Q91" i="22" s="1"/>
  <c r="R91" i="22" s="1"/>
  <c r="T91" i="22" s="1"/>
  <c r="H92" i="22"/>
  <c r="I92" i="22" s="1"/>
  <c r="J92" i="22" s="1"/>
  <c r="K92" i="22" s="1"/>
  <c r="L92" i="22" s="1"/>
  <c r="M92" i="22" s="1"/>
  <c r="N92" i="22" s="1"/>
  <c r="O92" i="22" s="1"/>
  <c r="P92" i="22" s="1"/>
  <c r="Q92" i="22" s="1"/>
  <c r="R92" i="22" s="1"/>
  <c r="T92" i="22" s="1"/>
  <c r="H93" i="22"/>
  <c r="I93" i="22" s="1"/>
  <c r="J93" i="22" s="1"/>
  <c r="K93" i="22" s="1"/>
  <c r="L93" i="22" s="1"/>
  <c r="M93" i="22" s="1"/>
  <c r="N93" i="22" s="1"/>
  <c r="O93" i="22" s="1"/>
  <c r="P93" i="22" s="1"/>
  <c r="Q93" i="22" s="1"/>
  <c r="R93" i="22" s="1"/>
  <c r="T93" i="22" s="1"/>
  <c r="AF94" i="22"/>
  <c r="U98" i="22"/>
  <c r="V98" i="22" s="1"/>
  <c r="W98" i="22" s="1"/>
  <c r="X98" i="22" s="1"/>
  <c r="Y98" i="22" s="1"/>
  <c r="Z98" i="22" s="1"/>
  <c r="AA98" i="22" s="1"/>
  <c r="AB98" i="22" s="1"/>
  <c r="AC98" i="22" s="1"/>
  <c r="AD98" i="22" s="1"/>
  <c r="AE98" i="22" s="1"/>
  <c r="AG98" i="22" s="1"/>
  <c r="AH98" i="22" s="1"/>
  <c r="AI98" i="22" s="1"/>
  <c r="AJ98" i="22" s="1"/>
  <c r="AK98" i="22" s="1"/>
  <c r="AL98" i="22" s="1"/>
  <c r="AM98" i="22" s="1"/>
  <c r="AN98" i="22" s="1"/>
  <c r="AO98" i="22" s="1"/>
  <c r="AP98" i="22" s="1"/>
  <c r="AQ98" i="22" s="1"/>
  <c r="AR98" i="22" s="1"/>
  <c r="AT98" i="22" s="1"/>
  <c r="AH94" i="22"/>
  <c r="AI94" i="22" s="1"/>
  <c r="AJ94" i="22" s="1"/>
  <c r="AK94" i="22" s="1"/>
  <c r="AL94" i="22" s="1"/>
  <c r="AM94" i="22" s="1"/>
  <c r="AN94" i="22" s="1"/>
  <c r="AO94" i="22" s="1"/>
  <c r="AP94" i="22" s="1"/>
  <c r="AQ94" i="22" s="1"/>
  <c r="AR94" i="22" s="1"/>
  <c r="AT94" i="22" s="1"/>
  <c r="AH95" i="22"/>
  <c r="AI95" i="22" s="1"/>
  <c r="AJ95" i="22" s="1"/>
  <c r="AK95" i="22" s="1"/>
  <c r="AL95" i="22" s="1"/>
  <c r="AM95" i="22" s="1"/>
  <c r="AN95" i="22" s="1"/>
  <c r="AO95" i="22" s="1"/>
  <c r="AP95" i="22" s="1"/>
  <c r="AQ95" i="22" s="1"/>
  <c r="AR95" i="22" s="1"/>
  <c r="AT95" i="22" s="1"/>
  <c r="S94" i="22"/>
  <c r="S95" i="22"/>
  <c r="U100" i="22"/>
  <c r="V100" i="22" s="1"/>
  <c r="W100" i="22" s="1"/>
  <c r="X100" i="22" s="1"/>
  <c r="Y100" i="22" s="1"/>
  <c r="Z100" i="22" s="1"/>
  <c r="AA100" i="22" s="1"/>
  <c r="AB100" i="22" s="1"/>
  <c r="AC100" i="22" s="1"/>
  <c r="AD100" i="22" s="1"/>
  <c r="AE100" i="22" s="1"/>
  <c r="AG100" i="22" s="1"/>
  <c r="AH100" i="22" s="1"/>
  <c r="AI100" i="22" s="1"/>
  <c r="AJ100" i="22" s="1"/>
  <c r="AK100" i="22" s="1"/>
  <c r="AL100" i="22" s="1"/>
  <c r="AM100" i="22" s="1"/>
  <c r="AN100" i="22" s="1"/>
  <c r="AO100" i="22" s="1"/>
  <c r="AP100" i="22" s="1"/>
  <c r="AQ100" i="22" s="1"/>
  <c r="AR100" i="22" s="1"/>
  <c r="AT100" i="22" s="1"/>
  <c r="H99" i="22"/>
  <c r="I99" i="22" s="1"/>
  <c r="J99" i="22" s="1"/>
  <c r="K99" i="22" s="1"/>
  <c r="L99" i="22" s="1"/>
  <c r="M99" i="22" s="1"/>
  <c r="N99" i="22" s="1"/>
  <c r="O99" i="22" s="1"/>
  <c r="P99" i="22" s="1"/>
  <c r="Q99" i="22" s="1"/>
  <c r="R99" i="22" s="1"/>
  <c r="T99" i="22" s="1"/>
  <c r="S100" i="22"/>
  <c r="P83" i="4" l="1"/>
  <c r="AG107" i="22"/>
  <c r="AG126" i="22"/>
  <c r="Q68" i="4" s="1"/>
  <c r="AH110" i="22"/>
  <c r="V83" i="4"/>
  <c r="V82" i="4"/>
  <c r="W82" i="4" s="1"/>
  <c r="X82" i="4" s="1"/>
  <c r="Y82" i="4" s="1"/>
  <c r="Z82" i="4" s="1"/>
  <c r="AA82" i="4" s="1"/>
  <c r="AB82" i="4" s="1"/>
  <c r="AD82" i="4" s="1"/>
  <c r="AE82" i="4" s="1"/>
  <c r="AF82" i="4" s="1"/>
  <c r="AG82" i="4" s="1"/>
  <c r="AH82" i="4" s="1"/>
  <c r="V85" i="22"/>
  <c r="W85" i="22" s="1"/>
  <c r="X85" i="22" s="1"/>
  <c r="Y85" i="22" s="1"/>
  <c r="Z85" i="22" s="1"/>
  <c r="AA85" i="22" s="1"/>
  <c r="AB85" i="22" s="1"/>
  <c r="AC85" i="22" s="1"/>
  <c r="AD85" i="22" s="1"/>
  <c r="AE85" i="22" s="1"/>
  <c r="AG85" i="22" s="1"/>
  <c r="V96" i="22"/>
  <c r="W96" i="22" s="1"/>
  <c r="X96" i="22" s="1"/>
  <c r="Y96" i="22" s="1"/>
  <c r="Z96" i="22" s="1"/>
  <c r="AA96" i="22" s="1"/>
  <c r="AB96" i="22" s="1"/>
  <c r="AC96" i="22" s="1"/>
  <c r="AD96" i="22" s="1"/>
  <c r="AE96" i="22" s="1"/>
  <c r="AG96" i="22" s="1"/>
  <c r="R107" i="22"/>
  <c r="T19" i="22"/>
  <c r="S11" i="22"/>
  <c r="T11" i="22"/>
  <c r="V86" i="22"/>
  <c r="W86" i="22" s="1"/>
  <c r="X86" i="22" s="1"/>
  <c r="Y86" i="22" s="1"/>
  <c r="Z86" i="22" s="1"/>
  <c r="AA86" i="22" s="1"/>
  <c r="AB86" i="22" s="1"/>
  <c r="AC86" i="22" s="1"/>
  <c r="AD86" i="22" s="1"/>
  <c r="AE86" i="22" s="1"/>
  <c r="AG86" i="22" s="1"/>
  <c r="AH86" i="22" s="1"/>
  <c r="AI86" i="22" s="1"/>
  <c r="AJ86" i="22" s="1"/>
  <c r="AK86" i="22" s="1"/>
  <c r="AL86" i="22" s="1"/>
  <c r="AM86" i="22" s="1"/>
  <c r="AN86" i="22" s="1"/>
  <c r="AO86" i="22" s="1"/>
  <c r="AP86" i="22" s="1"/>
  <c r="AQ86" i="22" s="1"/>
  <c r="AR86" i="22" s="1"/>
  <c r="AT86" i="22" s="1"/>
  <c r="AU86" i="22" s="1"/>
  <c r="AV86" i="22" s="1"/>
  <c r="AW86" i="22" s="1"/>
  <c r="AX86" i="22" s="1"/>
  <c r="AY86" i="22" s="1"/>
  <c r="AZ86" i="22" s="1"/>
  <c r="BA86" i="22" s="1"/>
  <c r="BB86" i="22" s="1"/>
  <c r="BC86" i="22" s="1"/>
  <c r="BD86" i="22" s="1"/>
  <c r="BE86" i="22" s="1"/>
  <c r="BG86" i="22" s="1"/>
  <c r="V76" i="22"/>
  <c r="W76" i="22" s="1"/>
  <c r="X76" i="22" s="1"/>
  <c r="Y76" i="22" s="1"/>
  <c r="Z76" i="22" s="1"/>
  <c r="AA76" i="22" s="1"/>
  <c r="AB76" i="22" s="1"/>
  <c r="AC76" i="22" s="1"/>
  <c r="AD76" i="22" s="1"/>
  <c r="AE76" i="22" s="1"/>
  <c r="AG76" i="22" s="1"/>
  <c r="AH76" i="22" s="1"/>
  <c r="AI76" i="22" s="1"/>
  <c r="AJ76" i="22" s="1"/>
  <c r="AK76" i="22" s="1"/>
  <c r="AL76" i="22" s="1"/>
  <c r="AM76" i="22" s="1"/>
  <c r="AN76" i="22" s="1"/>
  <c r="AO76" i="22" s="1"/>
  <c r="AP76" i="22" s="1"/>
  <c r="AQ76" i="22" s="1"/>
  <c r="AR76" i="22" s="1"/>
  <c r="AT76" i="22" s="1"/>
  <c r="AU76" i="22" s="1"/>
  <c r="AV76" i="22" s="1"/>
  <c r="AW76" i="22" s="1"/>
  <c r="AX76" i="22" s="1"/>
  <c r="AY76" i="22" s="1"/>
  <c r="AZ76" i="22" s="1"/>
  <c r="BA76" i="22" s="1"/>
  <c r="BB76" i="22" s="1"/>
  <c r="BC76" i="22" s="1"/>
  <c r="BD76" i="22" s="1"/>
  <c r="BE76" i="22" s="1"/>
  <c r="BG76" i="22" s="1"/>
  <c r="S204" i="27"/>
  <c r="S203" i="27"/>
  <c r="P82" i="4"/>
  <c r="U93" i="22"/>
  <c r="V93" i="22" s="1"/>
  <c r="W93" i="22" s="1"/>
  <c r="X93" i="22" s="1"/>
  <c r="Y93" i="22" s="1"/>
  <c r="Z93" i="22" s="1"/>
  <c r="AA93" i="22" s="1"/>
  <c r="AB93" i="22" s="1"/>
  <c r="AC93" i="22" s="1"/>
  <c r="AD93" i="22" s="1"/>
  <c r="AE93" i="22" s="1"/>
  <c r="AG93" i="22" s="1"/>
  <c r="AH93" i="22" s="1"/>
  <c r="AI93" i="22" s="1"/>
  <c r="AJ93" i="22" s="1"/>
  <c r="AK93" i="22" s="1"/>
  <c r="AL93" i="22" s="1"/>
  <c r="AM93" i="22" s="1"/>
  <c r="AN93" i="22" s="1"/>
  <c r="AO93" i="22" s="1"/>
  <c r="AP93" i="22" s="1"/>
  <c r="AQ93" i="22" s="1"/>
  <c r="AR93" i="22" s="1"/>
  <c r="AT93" i="22" s="1"/>
  <c r="AU93" i="22" s="1"/>
  <c r="AV93" i="22" s="1"/>
  <c r="AW93" i="22" s="1"/>
  <c r="AX93" i="22" s="1"/>
  <c r="AY93" i="22" s="1"/>
  <c r="AZ93" i="22" s="1"/>
  <c r="BA93" i="22" s="1"/>
  <c r="BB93" i="22" s="1"/>
  <c r="BC93" i="22" s="1"/>
  <c r="BD93" i="22" s="1"/>
  <c r="BE93" i="22" s="1"/>
  <c r="BG93" i="22" s="1"/>
  <c r="AS44" i="22"/>
  <c r="AF44" i="22"/>
  <c r="AU44" i="22"/>
  <c r="AV44" i="22" s="1"/>
  <c r="AW44" i="22" s="1"/>
  <c r="AX44" i="22" s="1"/>
  <c r="AY44" i="22" s="1"/>
  <c r="AZ44" i="22" s="1"/>
  <c r="BA44" i="22" s="1"/>
  <c r="BB44" i="22" s="1"/>
  <c r="BC44" i="22" s="1"/>
  <c r="BD44" i="22" s="1"/>
  <c r="BE44" i="22" s="1"/>
  <c r="BG44" i="22" s="1"/>
  <c r="AS88" i="22"/>
  <c r="AS52" i="22"/>
  <c r="S19" i="22"/>
  <c r="AS33" i="22"/>
  <c r="AF100" i="22"/>
  <c r="AS82" i="22"/>
  <c r="AS66" i="22"/>
  <c r="AS31" i="22"/>
  <c r="AF23" i="22"/>
  <c r="AS14" i="22"/>
  <c r="AS35" i="22"/>
  <c r="AS15" i="22"/>
  <c r="AS94" i="22"/>
  <c r="S93" i="22"/>
  <c r="S77" i="22"/>
  <c r="S96" i="22"/>
  <c r="AS98" i="22"/>
  <c r="AS80" i="22"/>
  <c r="S72" i="22"/>
  <c r="AS56" i="22"/>
  <c r="AS90" i="22"/>
  <c r="AS40" i="22"/>
  <c r="AS47" i="22"/>
  <c r="AF90" i="22"/>
  <c r="AF51" i="22"/>
  <c r="AS95" i="22"/>
  <c r="AF77" i="22"/>
  <c r="AF66" i="22"/>
  <c r="AS50" i="22"/>
  <c r="AS37" i="22"/>
  <c r="AF21" i="22"/>
  <c r="AS55" i="22"/>
  <c r="AS78" i="22"/>
  <c r="AF39" i="22"/>
  <c r="AS12" i="22"/>
  <c r="AF78" i="22"/>
  <c r="AF65" i="22"/>
  <c r="AF24" i="22"/>
  <c r="AH73" i="22"/>
  <c r="AI73" i="22" s="1"/>
  <c r="AJ73" i="22" s="1"/>
  <c r="AK73" i="22" s="1"/>
  <c r="AL73" i="22" s="1"/>
  <c r="AM73" i="22" s="1"/>
  <c r="AN73" i="22" s="1"/>
  <c r="AO73" i="22" s="1"/>
  <c r="AP73" i="22" s="1"/>
  <c r="AQ73" i="22" s="1"/>
  <c r="AR73" i="22" s="1"/>
  <c r="AT73" i="22" s="1"/>
  <c r="AU73" i="22" s="1"/>
  <c r="AV73" i="22" s="1"/>
  <c r="AW73" i="22" s="1"/>
  <c r="AX73" i="22" s="1"/>
  <c r="AY73" i="22" s="1"/>
  <c r="AZ73" i="22" s="1"/>
  <c r="BA73" i="22" s="1"/>
  <c r="BB73" i="22" s="1"/>
  <c r="BC73" i="22" s="1"/>
  <c r="BD73" i="22" s="1"/>
  <c r="BE73" i="22" s="1"/>
  <c r="BG73" i="22" s="1"/>
  <c r="AF73" i="22"/>
  <c r="AF70" i="22"/>
  <c r="AF64" i="22"/>
  <c r="AF63" i="22"/>
  <c r="AF61" i="22"/>
  <c r="AF60" i="22"/>
  <c r="AS59" i="22"/>
  <c r="AF55" i="22"/>
  <c r="AS48" i="22"/>
  <c r="AF47" i="22"/>
  <c r="AF45" i="22"/>
  <c r="AS27" i="22"/>
  <c r="AF22" i="22"/>
  <c r="U99" i="22"/>
  <c r="V99" i="22" s="1"/>
  <c r="W99" i="22" s="1"/>
  <c r="X99" i="22" s="1"/>
  <c r="Y99" i="22" s="1"/>
  <c r="Z99" i="22" s="1"/>
  <c r="AA99" i="22" s="1"/>
  <c r="AB99" i="22" s="1"/>
  <c r="AC99" i="22" s="1"/>
  <c r="AD99" i="22" s="1"/>
  <c r="AE99" i="22" s="1"/>
  <c r="AG99" i="22" s="1"/>
  <c r="S92" i="22"/>
  <c r="AU87" i="22"/>
  <c r="AV87" i="22" s="1"/>
  <c r="AW87" i="22" s="1"/>
  <c r="AX87" i="22" s="1"/>
  <c r="AY87" i="22" s="1"/>
  <c r="AZ87" i="22" s="1"/>
  <c r="BA87" i="22" s="1"/>
  <c r="BB87" i="22" s="1"/>
  <c r="BC87" i="22" s="1"/>
  <c r="BD87" i="22" s="1"/>
  <c r="BE87" i="22" s="1"/>
  <c r="BG87" i="22" s="1"/>
  <c r="AU83" i="22"/>
  <c r="AV83" i="22" s="1"/>
  <c r="AW83" i="22" s="1"/>
  <c r="AX83" i="22" s="1"/>
  <c r="AY83" i="22" s="1"/>
  <c r="AZ83" i="22" s="1"/>
  <c r="BA83" i="22" s="1"/>
  <c r="BB83" i="22" s="1"/>
  <c r="BC83" i="22" s="1"/>
  <c r="BD83" i="22" s="1"/>
  <c r="BE83" i="22" s="1"/>
  <c r="BG83" i="22" s="1"/>
  <c r="AH79" i="22"/>
  <c r="AI79" i="22" s="1"/>
  <c r="AJ79" i="22" s="1"/>
  <c r="AK79" i="22" s="1"/>
  <c r="AL79" i="22" s="1"/>
  <c r="AM79" i="22" s="1"/>
  <c r="AN79" i="22" s="1"/>
  <c r="AO79" i="22" s="1"/>
  <c r="AP79" i="22" s="1"/>
  <c r="AQ79" i="22" s="1"/>
  <c r="AR79" i="22" s="1"/>
  <c r="AT79" i="22" s="1"/>
  <c r="AF79" i="22"/>
  <c r="AH71" i="22"/>
  <c r="AI71" i="22" s="1"/>
  <c r="AJ71" i="22" s="1"/>
  <c r="AK71" i="22" s="1"/>
  <c r="AL71" i="22" s="1"/>
  <c r="AM71" i="22" s="1"/>
  <c r="AN71" i="22" s="1"/>
  <c r="AO71" i="22" s="1"/>
  <c r="AP71" i="22" s="1"/>
  <c r="AQ71" i="22" s="1"/>
  <c r="AR71" i="22" s="1"/>
  <c r="AT71" i="22" s="1"/>
  <c r="AH69" i="22"/>
  <c r="AI69" i="22" s="1"/>
  <c r="AJ69" i="22" s="1"/>
  <c r="AK69" i="22" s="1"/>
  <c r="AL69" i="22" s="1"/>
  <c r="AM69" i="22" s="1"/>
  <c r="AN69" i="22" s="1"/>
  <c r="AO69" i="22" s="1"/>
  <c r="AP69" i="22" s="1"/>
  <c r="AQ69" i="22" s="1"/>
  <c r="AR69" i="22" s="1"/>
  <c r="AT69" i="22" s="1"/>
  <c r="AH67" i="22"/>
  <c r="AI67" i="22" s="1"/>
  <c r="AJ67" i="22" s="1"/>
  <c r="AK67" i="22" s="1"/>
  <c r="AL67" i="22" s="1"/>
  <c r="AM67" i="22" s="1"/>
  <c r="AN67" i="22" s="1"/>
  <c r="AO67" i="22" s="1"/>
  <c r="AP67" i="22" s="1"/>
  <c r="AQ67" i="22" s="1"/>
  <c r="AR67" i="22" s="1"/>
  <c r="AT67" i="22" s="1"/>
  <c r="AU74" i="22"/>
  <c r="AV74" i="22" s="1"/>
  <c r="AW74" i="22" s="1"/>
  <c r="AX74" i="22" s="1"/>
  <c r="AY74" i="22" s="1"/>
  <c r="AZ74" i="22" s="1"/>
  <c r="BA74" i="22" s="1"/>
  <c r="BB74" i="22" s="1"/>
  <c r="BC74" i="22" s="1"/>
  <c r="BD74" i="22" s="1"/>
  <c r="BE74" i="22" s="1"/>
  <c r="BG74" i="22" s="1"/>
  <c r="AU60" i="22"/>
  <c r="AV60" i="22" s="1"/>
  <c r="AW60" i="22" s="1"/>
  <c r="AX60" i="22" s="1"/>
  <c r="AY60" i="22" s="1"/>
  <c r="AZ60" i="22" s="1"/>
  <c r="BA60" i="22" s="1"/>
  <c r="BB60" i="22" s="1"/>
  <c r="BC60" i="22" s="1"/>
  <c r="BD60" i="22" s="1"/>
  <c r="BE60" i="22" s="1"/>
  <c r="BG60" i="22" s="1"/>
  <c r="AU65" i="22"/>
  <c r="AV65" i="22" s="1"/>
  <c r="AW65" i="22" s="1"/>
  <c r="AX65" i="22" s="1"/>
  <c r="AY65" i="22" s="1"/>
  <c r="AZ65" i="22" s="1"/>
  <c r="BA65" i="22" s="1"/>
  <c r="BB65" i="22" s="1"/>
  <c r="BC65" i="22" s="1"/>
  <c r="BD65" i="22" s="1"/>
  <c r="BE65" i="22" s="1"/>
  <c r="BG65" i="22" s="1"/>
  <c r="AU64" i="22"/>
  <c r="AV64" i="22" s="1"/>
  <c r="AW64" i="22" s="1"/>
  <c r="AX64" i="22" s="1"/>
  <c r="AY64" i="22" s="1"/>
  <c r="AZ64" i="22" s="1"/>
  <c r="BA64" i="22" s="1"/>
  <c r="BB64" i="22" s="1"/>
  <c r="BC64" i="22" s="1"/>
  <c r="BD64" i="22" s="1"/>
  <c r="BE64" i="22" s="1"/>
  <c r="BG64" i="22" s="1"/>
  <c r="AU63" i="22"/>
  <c r="AV63" i="22" s="1"/>
  <c r="AW63" i="22" s="1"/>
  <c r="AX63" i="22" s="1"/>
  <c r="AY63" i="22" s="1"/>
  <c r="AZ63" i="22" s="1"/>
  <c r="BA63" i="22" s="1"/>
  <c r="BB63" i="22" s="1"/>
  <c r="BC63" i="22" s="1"/>
  <c r="BD63" i="22" s="1"/>
  <c r="BE63" i="22" s="1"/>
  <c r="BG63" i="22" s="1"/>
  <c r="AU61" i="22"/>
  <c r="AV61" i="22" s="1"/>
  <c r="AW61" i="22" s="1"/>
  <c r="AX61" i="22" s="1"/>
  <c r="AY61" i="22" s="1"/>
  <c r="AZ61" i="22" s="1"/>
  <c r="BA61" i="22" s="1"/>
  <c r="BB61" i="22" s="1"/>
  <c r="BC61" i="22" s="1"/>
  <c r="BD61" i="22" s="1"/>
  <c r="BE61" i="22" s="1"/>
  <c r="BG61" i="22" s="1"/>
  <c r="AU54" i="22"/>
  <c r="AV54" i="22" s="1"/>
  <c r="AW54" i="22" s="1"/>
  <c r="AX54" i="22" s="1"/>
  <c r="AY54" i="22" s="1"/>
  <c r="AZ54" i="22" s="1"/>
  <c r="BA54" i="22" s="1"/>
  <c r="BB54" i="22" s="1"/>
  <c r="BC54" i="22" s="1"/>
  <c r="BD54" i="22" s="1"/>
  <c r="BE54" i="22" s="1"/>
  <c r="BG54" i="22" s="1"/>
  <c r="AU46" i="22"/>
  <c r="AV46" i="22" s="1"/>
  <c r="AW46" i="22" s="1"/>
  <c r="AX46" i="22" s="1"/>
  <c r="AY46" i="22" s="1"/>
  <c r="AZ46" i="22" s="1"/>
  <c r="BA46" i="22" s="1"/>
  <c r="BB46" i="22" s="1"/>
  <c r="BC46" i="22" s="1"/>
  <c r="BD46" i="22" s="1"/>
  <c r="BE46" i="22" s="1"/>
  <c r="BG46" i="22" s="1"/>
  <c r="AU43" i="22"/>
  <c r="AV43" i="22" s="1"/>
  <c r="AW43" i="22" s="1"/>
  <c r="AX43" i="22" s="1"/>
  <c r="AY43" i="22" s="1"/>
  <c r="AZ43" i="22" s="1"/>
  <c r="BA43" i="22" s="1"/>
  <c r="BB43" i="22" s="1"/>
  <c r="BC43" i="22" s="1"/>
  <c r="BD43" i="22" s="1"/>
  <c r="BE43" i="22" s="1"/>
  <c r="BG43" i="22" s="1"/>
  <c r="AU39" i="22"/>
  <c r="AV39" i="22" s="1"/>
  <c r="AW39" i="22" s="1"/>
  <c r="AX39" i="22" s="1"/>
  <c r="AY39" i="22" s="1"/>
  <c r="AZ39" i="22" s="1"/>
  <c r="BA39" i="22" s="1"/>
  <c r="BB39" i="22" s="1"/>
  <c r="BC39" i="22" s="1"/>
  <c r="BD39" i="22" s="1"/>
  <c r="BE39" i="22" s="1"/>
  <c r="BG39" i="22" s="1"/>
  <c r="AU28" i="22"/>
  <c r="AV28" i="22" s="1"/>
  <c r="AW28" i="22" s="1"/>
  <c r="AX28" i="22" s="1"/>
  <c r="AY28" i="22" s="1"/>
  <c r="AZ28" i="22" s="1"/>
  <c r="BA28" i="22" s="1"/>
  <c r="BB28" i="22" s="1"/>
  <c r="BC28" i="22" s="1"/>
  <c r="BD28" i="22" s="1"/>
  <c r="BE28" i="22" s="1"/>
  <c r="BG28" i="22" s="1"/>
  <c r="W10" i="22"/>
  <c r="H102" i="22"/>
  <c r="H7" i="22" s="1"/>
  <c r="I10" i="22"/>
  <c r="AU58" i="22"/>
  <c r="AV58" i="22" s="1"/>
  <c r="AW58" i="22" s="1"/>
  <c r="AX58" i="22" s="1"/>
  <c r="AY58" i="22" s="1"/>
  <c r="AZ58" i="22" s="1"/>
  <c r="BA58" i="22" s="1"/>
  <c r="BB58" i="22" s="1"/>
  <c r="BC58" i="22" s="1"/>
  <c r="BD58" i="22" s="1"/>
  <c r="BE58" i="22" s="1"/>
  <c r="BG58" i="22" s="1"/>
  <c r="AU57" i="22"/>
  <c r="AV57" i="22" s="1"/>
  <c r="AW57" i="22" s="1"/>
  <c r="AX57" i="22" s="1"/>
  <c r="AY57" i="22" s="1"/>
  <c r="AZ57" i="22" s="1"/>
  <c r="BA57" i="22" s="1"/>
  <c r="BB57" i="22" s="1"/>
  <c r="BC57" i="22" s="1"/>
  <c r="BD57" i="22" s="1"/>
  <c r="BE57" i="22" s="1"/>
  <c r="BG57" i="22" s="1"/>
  <c r="AU53" i="22"/>
  <c r="AV53" i="22" s="1"/>
  <c r="AW53" i="22" s="1"/>
  <c r="AX53" i="22" s="1"/>
  <c r="AY53" i="22" s="1"/>
  <c r="AZ53" i="22" s="1"/>
  <c r="BA53" i="22" s="1"/>
  <c r="BB53" i="22" s="1"/>
  <c r="BC53" i="22" s="1"/>
  <c r="BD53" i="22" s="1"/>
  <c r="BE53" i="22" s="1"/>
  <c r="BG53" i="22" s="1"/>
  <c r="AU51" i="22"/>
  <c r="AV51" i="22" s="1"/>
  <c r="AW51" i="22" s="1"/>
  <c r="AX51" i="22" s="1"/>
  <c r="AY51" i="22" s="1"/>
  <c r="AZ51" i="22" s="1"/>
  <c r="BA51" i="22" s="1"/>
  <c r="BB51" i="22" s="1"/>
  <c r="BC51" i="22" s="1"/>
  <c r="BD51" i="22" s="1"/>
  <c r="BE51" i="22" s="1"/>
  <c r="BG51" i="22" s="1"/>
  <c r="AU49" i="22"/>
  <c r="AV49" i="22" s="1"/>
  <c r="AW49" i="22" s="1"/>
  <c r="AX49" i="22" s="1"/>
  <c r="AY49" i="22" s="1"/>
  <c r="AZ49" i="22" s="1"/>
  <c r="BA49" i="22" s="1"/>
  <c r="BB49" i="22" s="1"/>
  <c r="BC49" i="22" s="1"/>
  <c r="BD49" i="22" s="1"/>
  <c r="BE49" i="22" s="1"/>
  <c r="BG49" i="22" s="1"/>
  <c r="AU45" i="22"/>
  <c r="AV45" i="22" s="1"/>
  <c r="AW45" i="22" s="1"/>
  <c r="AX45" i="22" s="1"/>
  <c r="AY45" i="22" s="1"/>
  <c r="AZ45" i="22" s="1"/>
  <c r="BA45" i="22" s="1"/>
  <c r="BB45" i="22" s="1"/>
  <c r="BC45" i="22" s="1"/>
  <c r="BD45" i="22" s="1"/>
  <c r="BE45" i="22" s="1"/>
  <c r="BG45" i="22" s="1"/>
  <c r="AU41" i="22"/>
  <c r="AV41" i="22" s="1"/>
  <c r="AW41" i="22" s="1"/>
  <c r="AX41" i="22" s="1"/>
  <c r="AY41" i="22" s="1"/>
  <c r="AZ41" i="22" s="1"/>
  <c r="BA41" i="22" s="1"/>
  <c r="BB41" i="22" s="1"/>
  <c r="BC41" i="22" s="1"/>
  <c r="BD41" i="22" s="1"/>
  <c r="BE41" i="22" s="1"/>
  <c r="BG41" i="22" s="1"/>
  <c r="AU29" i="22"/>
  <c r="AV29" i="22" s="1"/>
  <c r="AW29" i="22" s="1"/>
  <c r="AX29" i="22" s="1"/>
  <c r="AY29" i="22" s="1"/>
  <c r="AZ29" i="22" s="1"/>
  <c r="BA29" i="22" s="1"/>
  <c r="BB29" i="22" s="1"/>
  <c r="BC29" i="22" s="1"/>
  <c r="BD29" i="22" s="1"/>
  <c r="BE29" i="22" s="1"/>
  <c r="BG29" i="22" s="1"/>
  <c r="AU34" i="22"/>
  <c r="AV34" i="22" s="1"/>
  <c r="AW34" i="22" s="1"/>
  <c r="AX34" i="22" s="1"/>
  <c r="AY34" i="22" s="1"/>
  <c r="AZ34" i="22" s="1"/>
  <c r="BA34" i="22" s="1"/>
  <c r="BB34" i="22" s="1"/>
  <c r="BC34" i="22" s="1"/>
  <c r="BD34" i="22" s="1"/>
  <c r="BE34" i="22" s="1"/>
  <c r="BG34" i="22" s="1"/>
  <c r="AU32" i="22"/>
  <c r="AV32" i="22" s="1"/>
  <c r="AW32" i="22" s="1"/>
  <c r="AX32" i="22" s="1"/>
  <c r="AY32" i="22" s="1"/>
  <c r="AZ32" i="22" s="1"/>
  <c r="BA32" i="22" s="1"/>
  <c r="BB32" i="22" s="1"/>
  <c r="BC32" i="22" s="1"/>
  <c r="BD32" i="22" s="1"/>
  <c r="BE32" i="22" s="1"/>
  <c r="BG32" i="22" s="1"/>
  <c r="AU26" i="22"/>
  <c r="AV26" i="22" s="1"/>
  <c r="AW26" i="22" s="1"/>
  <c r="AX26" i="22" s="1"/>
  <c r="AY26" i="22" s="1"/>
  <c r="AZ26" i="22" s="1"/>
  <c r="BA26" i="22" s="1"/>
  <c r="BB26" i="22" s="1"/>
  <c r="BC26" i="22" s="1"/>
  <c r="BD26" i="22" s="1"/>
  <c r="BE26" i="22" s="1"/>
  <c r="BG26" i="22" s="1"/>
  <c r="AS13" i="22"/>
  <c r="AU18" i="22"/>
  <c r="AV18" i="22" s="1"/>
  <c r="AW18" i="22" s="1"/>
  <c r="AX18" i="22" s="1"/>
  <c r="AY18" i="22" s="1"/>
  <c r="AZ18" i="22" s="1"/>
  <c r="BA18" i="22" s="1"/>
  <c r="BB18" i="22" s="1"/>
  <c r="BC18" i="22" s="1"/>
  <c r="BD18" i="22" s="1"/>
  <c r="BE18" i="22" s="1"/>
  <c r="BG18" i="22" s="1"/>
  <c r="AU14" i="22"/>
  <c r="AV14" i="22" s="1"/>
  <c r="AW14" i="22" s="1"/>
  <c r="AX14" i="22" s="1"/>
  <c r="AY14" i="22" s="1"/>
  <c r="AZ14" i="22" s="1"/>
  <c r="BA14" i="22" s="1"/>
  <c r="BB14" i="22" s="1"/>
  <c r="BC14" i="22" s="1"/>
  <c r="BD14" i="22" s="1"/>
  <c r="BE14" i="22" s="1"/>
  <c r="BG14" i="22" s="1"/>
  <c r="AU12" i="22"/>
  <c r="AV12" i="22" s="1"/>
  <c r="AW12" i="22" s="1"/>
  <c r="AX12" i="22" s="1"/>
  <c r="AY12" i="22" s="1"/>
  <c r="AZ12" i="22" s="1"/>
  <c r="BA12" i="22" s="1"/>
  <c r="BB12" i="22" s="1"/>
  <c r="BC12" i="22" s="1"/>
  <c r="BD12" i="22" s="1"/>
  <c r="BE12" i="22" s="1"/>
  <c r="BG12" i="22" s="1"/>
  <c r="AS36" i="22"/>
  <c r="AU35" i="22"/>
  <c r="AV35" i="22" s="1"/>
  <c r="AW35" i="22" s="1"/>
  <c r="AX35" i="22" s="1"/>
  <c r="AY35" i="22" s="1"/>
  <c r="AZ35" i="22" s="1"/>
  <c r="BA35" i="22" s="1"/>
  <c r="BB35" i="22" s="1"/>
  <c r="BC35" i="22" s="1"/>
  <c r="BD35" i="22" s="1"/>
  <c r="BE35" i="22" s="1"/>
  <c r="BG35" i="22" s="1"/>
  <c r="AU33" i="22"/>
  <c r="AV33" i="22" s="1"/>
  <c r="AW33" i="22" s="1"/>
  <c r="AX33" i="22" s="1"/>
  <c r="AY33" i="22" s="1"/>
  <c r="AZ33" i="22" s="1"/>
  <c r="BA33" i="22" s="1"/>
  <c r="BB33" i="22" s="1"/>
  <c r="BC33" i="22" s="1"/>
  <c r="BD33" i="22" s="1"/>
  <c r="BE33" i="22" s="1"/>
  <c r="BG33" i="22" s="1"/>
  <c r="AU27" i="22"/>
  <c r="AV27" i="22" s="1"/>
  <c r="AW27" i="22" s="1"/>
  <c r="AX27" i="22" s="1"/>
  <c r="AY27" i="22" s="1"/>
  <c r="AZ27" i="22" s="1"/>
  <c r="BA27" i="22" s="1"/>
  <c r="BB27" i="22" s="1"/>
  <c r="BC27" i="22" s="1"/>
  <c r="BD27" i="22" s="1"/>
  <c r="BE27" i="22" s="1"/>
  <c r="BG27" i="22" s="1"/>
  <c r="AS24" i="22"/>
  <c r="AS23" i="22"/>
  <c r="AS22" i="22"/>
  <c r="AS21" i="22"/>
  <c r="AU16" i="22"/>
  <c r="AV16" i="22" s="1"/>
  <c r="AW16" i="22" s="1"/>
  <c r="AX16" i="22" s="1"/>
  <c r="AY16" i="22" s="1"/>
  <c r="AZ16" i="22" s="1"/>
  <c r="BA16" i="22" s="1"/>
  <c r="BB16" i="22" s="1"/>
  <c r="BC16" i="22" s="1"/>
  <c r="BD16" i="22" s="1"/>
  <c r="BE16" i="22" s="1"/>
  <c r="BG16" i="22" s="1"/>
  <c r="AU17" i="22"/>
  <c r="AV17" i="22" s="1"/>
  <c r="AW17" i="22" s="1"/>
  <c r="AX17" i="22" s="1"/>
  <c r="AY17" i="22" s="1"/>
  <c r="AZ17" i="22" s="1"/>
  <c r="BA17" i="22" s="1"/>
  <c r="BB17" i="22" s="1"/>
  <c r="BC17" i="22" s="1"/>
  <c r="BD17" i="22" s="1"/>
  <c r="BE17" i="22" s="1"/>
  <c r="BG17" i="22" s="1"/>
  <c r="AU100" i="22"/>
  <c r="AV100" i="22" s="1"/>
  <c r="AW100" i="22" s="1"/>
  <c r="AX100" i="22" s="1"/>
  <c r="AY100" i="22" s="1"/>
  <c r="AZ100" i="22" s="1"/>
  <c r="BA100" i="22" s="1"/>
  <c r="BB100" i="22" s="1"/>
  <c r="BC100" i="22" s="1"/>
  <c r="BD100" i="22" s="1"/>
  <c r="BE100" i="22" s="1"/>
  <c r="BG100" i="22" s="1"/>
  <c r="U92" i="22"/>
  <c r="AU89" i="22"/>
  <c r="AV89" i="22" s="1"/>
  <c r="AW89" i="22" s="1"/>
  <c r="AX89" i="22" s="1"/>
  <c r="AY89" i="22" s="1"/>
  <c r="AZ89" i="22" s="1"/>
  <c r="BA89" i="22" s="1"/>
  <c r="BB89" i="22" s="1"/>
  <c r="BC89" i="22" s="1"/>
  <c r="BD89" i="22" s="1"/>
  <c r="BE89" i="22" s="1"/>
  <c r="BG89" i="22" s="1"/>
  <c r="AU84" i="22"/>
  <c r="AV84" i="22" s="1"/>
  <c r="AW84" i="22" s="1"/>
  <c r="AX84" i="22" s="1"/>
  <c r="AY84" i="22" s="1"/>
  <c r="AZ84" i="22" s="1"/>
  <c r="BA84" i="22" s="1"/>
  <c r="BB84" i="22" s="1"/>
  <c r="BC84" i="22" s="1"/>
  <c r="BD84" i="22" s="1"/>
  <c r="BE84" i="22" s="1"/>
  <c r="BG84" i="22" s="1"/>
  <c r="AS100" i="22"/>
  <c r="S99" i="22"/>
  <c r="AU98" i="22"/>
  <c r="AV98" i="22" s="1"/>
  <c r="AW98" i="22" s="1"/>
  <c r="AX98" i="22" s="1"/>
  <c r="AY98" i="22" s="1"/>
  <c r="AZ98" i="22" s="1"/>
  <c r="BA98" i="22" s="1"/>
  <c r="BB98" i="22" s="1"/>
  <c r="BC98" i="22" s="1"/>
  <c r="BD98" i="22" s="1"/>
  <c r="BE98" i="22" s="1"/>
  <c r="BG98" i="22" s="1"/>
  <c r="AU95" i="22"/>
  <c r="AV95" i="22" s="1"/>
  <c r="AW95" i="22" s="1"/>
  <c r="AX95" i="22" s="1"/>
  <c r="AY95" i="22" s="1"/>
  <c r="AZ95" i="22" s="1"/>
  <c r="BA95" i="22" s="1"/>
  <c r="BB95" i="22" s="1"/>
  <c r="BC95" i="22" s="1"/>
  <c r="BD95" i="22" s="1"/>
  <c r="BE95" i="22" s="1"/>
  <c r="BG95" i="22" s="1"/>
  <c r="AU94" i="22"/>
  <c r="AV94" i="22" s="1"/>
  <c r="AW94" i="22" s="1"/>
  <c r="AX94" i="22" s="1"/>
  <c r="AY94" i="22" s="1"/>
  <c r="AZ94" i="22" s="1"/>
  <c r="BA94" i="22" s="1"/>
  <c r="BB94" i="22" s="1"/>
  <c r="BC94" i="22" s="1"/>
  <c r="BD94" i="22" s="1"/>
  <c r="BE94" i="22" s="1"/>
  <c r="BG94" i="22" s="1"/>
  <c r="AF98" i="22"/>
  <c r="U91" i="22"/>
  <c r="V91" i="22" s="1"/>
  <c r="W91" i="22" s="1"/>
  <c r="X91" i="22" s="1"/>
  <c r="Y91" i="22" s="1"/>
  <c r="Z91" i="22" s="1"/>
  <c r="AA91" i="22" s="1"/>
  <c r="AB91" i="22" s="1"/>
  <c r="AC91" i="22" s="1"/>
  <c r="AD91" i="22" s="1"/>
  <c r="AE91" i="22" s="1"/>
  <c r="AG91" i="22" s="1"/>
  <c r="AH91" i="22" s="1"/>
  <c r="AI91" i="22" s="1"/>
  <c r="AJ91" i="22" s="1"/>
  <c r="AK91" i="22" s="1"/>
  <c r="AL91" i="22" s="1"/>
  <c r="AM91" i="22" s="1"/>
  <c r="AN91" i="22" s="1"/>
  <c r="AO91" i="22" s="1"/>
  <c r="AP91" i="22" s="1"/>
  <c r="AQ91" i="22" s="1"/>
  <c r="AR91" i="22" s="1"/>
  <c r="AT91" i="22" s="1"/>
  <c r="AU91" i="22" s="1"/>
  <c r="AV91" i="22" s="1"/>
  <c r="AW91" i="22" s="1"/>
  <c r="AX91" i="22" s="1"/>
  <c r="AY91" i="22" s="1"/>
  <c r="AZ91" i="22" s="1"/>
  <c r="BA91" i="22" s="1"/>
  <c r="BB91" i="22" s="1"/>
  <c r="BC91" i="22" s="1"/>
  <c r="BD91" i="22" s="1"/>
  <c r="BE91" i="22" s="1"/>
  <c r="BG91" i="22" s="1"/>
  <c r="AU90" i="22"/>
  <c r="AV90" i="22" s="1"/>
  <c r="AW90" i="22" s="1"/>
  <c r="AX90" i="22" s="1"/>
  <c r="AY90" i="22" s="1"/>
  <c r="AZ90" i="22" s="1"/>
  <c r="BA90" i="22" s="1"/>
  <c r="BB90" i="22" s="1"/>
  <c r="BC90" i="22" s="1"/>
  <c r="BD90" i="22" s="1"/>
  <c r="BE90" i="22" s="1"/>
  <c r="BG90" i="22" s="1"/>
  <c r="S91" i="22"/>
  <c r="AS89" i="22"/>
  <c r="AS87" i="22"/>
  <c r="AS84" i="22"/>
  <c r="AS83" i="22"/>
  <c r="AU88" i="22"/>
  <c r="AV88" i="22" s="1"/>
  <c r="AW88" i="22" s="1"/>
  <c r="AX88" i="22" s="1"/>
  <c r="AY88" i="22" s="1"/>
  <c r="AZ88" i="22" s="1"/>
  <c r="BA88" i="22" s="1"/>
  <c r="BB88" i="22" s="1"/>
  <c r="BC88" i="22" s="1"/>
  <c r="BD88" i="22" s="1"/>
  <c r="BE88" i="22" s="1"/>
  <c r="BG88" i="22" s="1"/>
  <c r="AH77" i="22"/>
  <c r="AI77" i="22" s="1"/>
  <c r="AJ77" i="22" s="1"/>
  <c r="AK77" i="22" s="1"/>
  <c r="AL77" i="22" s="1"/>
  <c r="AM77" i="22" s="1"/>
  <c r="AN77" i="22" s="1"/>
  <c r="AO77" i="22" s="1"/>
  <c r="AP77" i="22" s="1"/>
  <c r="AQ77" i="22" s="1"/>
  <c r="AR77" i="22" s="1"/>
  <c r="AT77" i="22" s="1"/>
  <c r="AU82" i="22"/>
  <c r="AV82" i="22" s="1"/>
  <c r="AW82" i="22" s="1"/>
  <c r="AX82" i="22" s="1"/>
  <c r="AY82" i="22" s="1"/>
  <c r="AZ82" i="22" s="1"/>
  <c r="BA82" i="22" s="1"/>
  <c r="BB82" i="22" s="1"/>
  <c r="BC82" i="22" s="1"/>
  <c r="BD82" i="22" s="1"/>
  <c r="BE82" i="22" s="1"/>
  <c r="BG82" i="22" s="1"/>
  <c r="AF82" i="22"/>
  <c r="AU80" i="22"/>
  <c r="AV80" i="22" s="1"/>
  <c r="AW80" i="22" s="1"/>
  <c r="AX80" i="22" s="1"/>
  <c r="AY80" i="22" s="1"/>
  <c r="AZ80" i="22" s="1"/>
  <c r="BA80" i="22" s="1"/>
  <c r="BB80" i="22" s="1"/>
  <c r="BC80" i="22" s="1"/>
  <c r="BD80" i="22" s="1"/>
  <c r="BE80" i="22" s="1"/>
  <c r="BG80" i="22" s="1"/>
  <c r="AU78" i="22"/>
  <c r="AV78" i="22" s="1"/>
  <c r="AW78" i="22" s="1"/>
  <c r="AX78" i="22" s="1"/>
  <c r="AY78" i="22" s="1"/>
  <c r="AZ78" i="22" s="1"/>
  <c r="BA78" i="22" s="1"/>
  <c r="BB78" i="22" s="1"/>
  <c r="BC78" i="22" s="1"/>
  <c r="BD78" i="22" s="1"/>
  <c r="BE78" i="22" s="1"/>
  <c r="BG78" i="22" s="1"/>
  <c r="AH72" i="22"/>
  <c r="AI72" i="22" s="1"/>
  <c r="AJ72" i="22" s="1"/>
  <c r="AK72" i="22" s="1"/>
  <c r="AL72" i="22" s="1"/>
  <c r="AM72" i="22" s="1"/>
  <c r="AN72" i="22" s="1"/>
  <c r="AO72" i="22" s="1"/>
  <c r="AP72" i="22" s="1"/>
  <c r="AQ72" i="22" s="1"/>
  <c r="AR72" i="22" s="1"/>
  <c r="AT72" i="22" s="1"/>
  <c r="AH70" i="22"/>
  <c r="AI70" i="22" s="1"/>
  <c r="AJ70" i="22" s="1"/>
  <c r="AK70" i="22" s="1"/>
  <c r="AL70" i="22" s="1"/>
  <c r="AM70" i="22" s="1"/>
  <c r="AN70" i="22" s="1"/>
  <c r="AO70" i="22" s="1"/>
  <c r="AP70" i="22" s="1"/>
  <c r="AQ70" i="22" s="1"/>
  <c r="AR70" i="22" s="1"/>
  <c r="AT70" i="22" s="1"/>
  <c r="AH68" i="22"/>
  <c r="AI68" i="22" s="1"/>
  <c r="AJ68" i="22" s="1"/>
  <c r="AK68" i="22" s="1"/>
  <c r="AL68" i="22" s="1"/>
  <c r="AM68" i="22" s="1"/>
  <c r="AN68" i="22" s="1"/>
  <c r="AO68" i="22" s="1"/>
  <c r="AP68" i="22" s="1"/>
  <c r="AQ68" i="22" s="1"/>
  <c r="AR68" i="22" s="1"/>
  <c r="AT68" i="22" s="1"/>
  <c r="AS74" i="22"/>
  <c r="AF72" i="22"/>
  <c r="AF68" i="22"/>
  <c r="AU66" i="22"/>
  <c r="AV66" i="22" s="1"/>
  <c r="AW66" i="22" s="1"/>
  <c r="AX66" i="22" s="1"/>
  <c r="AY66" i="22" s="1"/>
  <c r="AZ66" i="22" s="1"/>
  <c r="BA66" i="22" s="1"/>
  <c r="BB66" i="22" s="1"/>
  <c r="BC66" i="22" s="1"/>
  <c r="BD66" i="22" s="1"/>
  <c r="BE66" i="22" s="1"/>
  <c r="BG66" i="22" s="1"/>
  <c r="AS60" i="22"/>
  <c r="AF74" i="22"/>
  <c r="AF71" i="22"/>
  <c r="AF69" i="22"/>
  <c r="AF67" i="22"/>
  <c r="AS65" i="22"/>
  <c r="AS64" i="22"/>
  <c r="AS63" i="22"/>
  <c r="AS61" i="22"/>
  <c r="AU59" i="22"/>
  <c r="AV59" i="22" s="1"/>
  <c r="AW59" i="22" s="1"/>
  <c r="AX59" i="22" s="1"/>
  <c r="AY59" i="22" s="1"/>
  <c r="AZ59" i="22" s="1"/>
  <c r="BA59" i="22" s="1"/>
  <c r="BB59" i="22" s="1"/>
  <c r="BC59" i="22" s="1"/>
  <c r="BD59" i="22" s="1"/>
  <c r="BE59" i="22" s="1"/>
  <c r="BG59" i="22" s="1"/>
  <c r="AU55" i="22"/>
  <c r="AV55" i="22" s="1"/>
  <c r="AW55" i="22" s="1"/>
  <c r="AX55" i="22" s="1"/>
  <c r="AY55" i="22" s="1"/>
  <c r="AZ55" i="22" s="1"/>
  <c r="BA55" i="22" s="1"/>
  <c r="BB55" i="22" s="1"/>
  <c r="BC55" i="22" s="1"/>
  <c r="BD55" i="22" s="1"/>
  <c r="BE55" i="22" s="1"/>
  <c r="BG55" i="22" s="1"/>
  <c r="AS54" i="22"/>
  <c r="AU50" i="22"/>
  <c r="AV50" i="22" s="1"/>
  <c r="AW50" i="22" s="1"/>
  <c r="AX50" i="22" s="1"/>
  <c r="AY50" i="22" s="1"/>
  <c r="AZ50" i="22" s="1"/>
  <c r="BA50" i="22" s="1"/>
  <c r="BB50" i="22" s="1"/>
  <c r="BC50" i="22" s="1"/>
  <c r="BD50" i="22" s="1"/>
  <c r="BE50" i="22" s="1"/>
  <c r="BG50" i="22" s="1"/>
  <c r="AU47" i="22"/>
  <c r="AV47" i="22" s="1"/>
  <c r="AW47" i="22" s="1"/>
  <c r="AX47" i="22" s="1"/>
  <c r="AY47" i="22" s="1"/>
  <c r="AZ47" i="22" s="1"/>
  <c r="BA47" i="22" s="1"/>
  <c r="BB47" i="22" s="1"/>
  <c r="BC47" i="22" s="1"/>
  <c r="BD47" i="22" s="1"/>
  <c r="BE47" i="22" s="1"/>
  <c r="BG47" i="22" s="1"/>
  <c r="AS46" i="22"/>
  <c r="AS43" i="22"/>
  <c r="AS39" i="22"/>
  <c r="AU37" i="22"/>
  <c r="AV37" i="22" s="1"/>
  <c r="AW37" i="22" s="1"/>
  <c r="AX37" i="22" s="1"/>
  <c r="AY37" i="22" s="1"/>
  <c r="AZ37" i="22" s="1"/>
  <c r="BA37" i="22" s="1"/>
  <c r="BB37" i="22" s="1"/>
  <c r="BC37" i="22" s="1"/>
  <c r="BD37" i="22" s="1"/>
  <c r="BE37" i="22" s="1"/>
  <c r="BG37" i="22" s="1"/>
  <c r="AS28" i="22"/>
  <c r="AS58" i="22"/>
  <c r="AS57" i="22"/>
  <c r="AU56" i="22"/>
  <c r="AV56" i="22" s="1"/>
  <c r="AW56" i="22" s="1"/>
  <c r="AX56" i="22" s="1"/>
  <c r="AY56" i="22" s="1"/>
  <c r="AZ56" i="22" s="1"/>
  <c r="BA56" i="22" s="1"/>
  <c r="BB56" i="22" s="1"/>
  <c r="BC56" i="22" s="1"/>
  <c r="BD56" i="22" s="1"/>
  <c r="BE56" i="22" s="1"/>
  <c r="BG56" i="22" s="1"/>
  <c r="AS53" i="22"/>
  <c r="AU52" i="22"/>
  <c r="AV52" i="22" s="1"/>
  <c r="AW52" i="22" s="1"/>
  <c r="AX52" i="22" s="1"/>
  <c r="AY52" i="22" s="1"/>
  <c r="AZ52" i="22" s="1"/>
  <c r="BA52" i="22" s="1"/>
  <c r="BB52" i="22" s="1"/>
  <c r="BC52" i="22" s="1"/>
  <c r="BD52" i="22" s="1"/>
  <c r="BE52" i="22" s="1"/>
  <c r="BG52" i="22" s="1"/>
  <c r="AS51" i="22"/>
  <c r="AS49" i="22"/>
  <c r="AU48" i="22"/>
  <c r="AV48" i="22" s="1"/>
  <c r="AW48" i="22" s="1"/>
  <c r="AX48" i="22" s="1"/>
  <c r="AY48" i="22" s="1"/>
  <c r="AZ48" i="22" s="1"/>
  <c r="BA48" i="22" s="1"/>
  <c r="BB48" i="22" s="1"/>
  <c r="BC48" i="22" s="1"/>
  <c r="BD48" i="22" s="1"/>
  <c r="BE48" i="22" s="1"/>
  <c r="BG48" i="22" s="1"/>
  <c r="AS45" i="22"/>
  <c r="AS41" i="22"/>
  <c r="AU40" i="22"/>
  <c r="AV40" i="22" s="1"/>
  <c r="AW40" i="22" s="1"/>
  <c r="AX40" i="22" s="1"/>
  <c r="AY40" i="22" s="1"/>
  <c r="AZ40" i="22" s="1"/>
  <c r="BA40" i="22" s="1"/>
  <c r="BB40" i="22" s="1"/>
  <c r="BC40" i="22" s="1"/>
  <c r="BD40" i="22" s="1"/>
  <c r="BE40" i="22" s="1"/>
  <c r="BG40" i="22" s="1"/>
  <c r="AS29" i="22"/>
  <c r="AS34" i="22"/>
  <c r="AS32" i="22"/>
  <c r="AU31" i="22"/>
  <c r="AV31" i="22" s="1"/>
  <c r="AW31" i="22" s="1"/>
  <c r="AX31" i="22" s="1"/>
  <c r="AY31" i="22" s="1"/>
  <c r="AZ31" i="22" s="1"/>
  <c r="BA31" i="22" s="1"/>
  <c r="BB31" i="22" s="1"/>
  <c r="BC31" i="22" s="1"/>
  <c r="BD31" i="22" s="1"/>
  <c r="BE31" i="22" s="1"/>
  <c r="BG31" i="22" s="1"/>
  <c r="AS26" i="22"/>
  <c r="AU13" i="22"/>
  <c r="AV13" i="22" s="1"/>
  <c r="AW13" i="22" s="1"/>
  <c r="AX13" i="22" s="1"/>
  <c r="AY13" i="22" s="1"/>
  <c r="AZ13" i="22" s="1"/>
  <c r="BA13" i="22" s="1"/>
  <c r="BB13" i="22" s="1"/>
  <c r="BC13" i="22" s="1"/>
  <c r="BD13" i="22" s="1"/>
  <c r="BE13" i="22" s="1"/>
  <c r="BG13" i="22" s="1"/>
  <c r="AS18" i="22"/>
  <c r="AU36" i="22"/>
  <c r="AV36" i="22" s="1"/>
  <c r="AW36" i="22" s="1"/>
  <c r="AX36" i="22" s="1"/>
  <c r="AY36" i="22" s="1"/>
  <c r="AZ36" i="22" s="1"/>
  <c r="BA36" i="22" s="1"/>
  <c r="BB36" i="22" s="1"/>
  <c r="BC36" i="22" s="1"/>
  <c r="BD36" i="22" s="1"/>
  <c r="BE36" i="22" s="1"/>
  <c r="BG36" i="22" s="1"/>
  <c r="AU24" i="22"/>
  <c r="AV24" i="22" s="1"/>
  <c r="AW24" i="22" s="1"/>
  <c r="AX24" i="22" s="1"/>
  <c r="AY24" i="22" s="1"/>
  <c r="AZ24" i="22" s="1"/>
  <c r="BA24" i="22" s="1"/>
  <c r="BB24" i="22" s="1"/>
  <c r="BC24" i="22" s="1"/>
  <c r="BD24" i="22" s="1"/>
  <c r="BE24" i="22" s="1"/>
  <c r="BG24" i="22" s="1"/>
  <c r="AU23" i="22"/>
  <c r="AV23" i="22" s="1"/>
  <c r="AW23" i="22" s="1"/>
  <c r="AX23" i="22" s="1"/>
  <c r="AY23" i="22" s="1"/>
  <c r="AZ23" i="22" s="1"/>
  <c r="BA23" i="22" s="1"/>
  <c r="BB23" i="22" s="1"/>
  <c r="BC23" i="22" s="1"/>
  <c r="BD23" i="22" s="1"/>
  <c r="BE23" i="22" s="1"/>
  <c r="BG23" i="22" s="1"/>
  <c r="AU22" i="22"/>
  <c r="AV22" i="22" s="1"/>
  <c r="AW22" i="22" s="1"/>
  <c r="AX22" i="22" s="1"/>
  <c r="AY22" i="22" s="1"/>
  <c r="AZ22" i="22" s="1"/>
  <c r="BA22" i="22" s="1"/>
  <c r="BB22" i="22" s="1"/>
  <c r="BC22" i="22" s="1"/>
  <c r="BD22" i="22" s="1"/>
  <c r="BE22" i="22" s="1"/>
  <c r="BG22" i="22" s="1"/>
  <c r="AU21" i="22"/>
  <c r="AV21" i="22" s="1"/>
  <c r="AW21" i="22" s="1"/>
  <c r="AX21" i="22" s="1"/>
  <c r="AY21" i="22" s="1"/>
  <c r="AZ21" i="22" s="1"/>
  <c r="BA21" i="22" s="1"/>
  <c r="BB21" i="22" s="1"/>
  <c r="BC21" i="22" s="1"/>
  <c r="BD21" i="22" s="1"/>
  <c r="BE21" i="22" s="1"/>
  <c r="BG21" i="22" s="1"/>
  <c r="AS16" i="22"/>
  <c r="AU15" i="22"/>
  <c r="AV15" i="22" s="1"/>
  <c r="AW15" i="22" s="1"/>
  <c r="AX15" i="22" s="1"/>
  <c r="AY15" i="22" s="1"/>
  <c r="AZ15" i="22" s="1"/>
  <c r="BA15" i="22" s="1"/>
  <c r="BB15" i="22" s="1"/>
  <c r="BC15" i="22" s="1"/>
  <c r="BD15" i="22" s="1"/>
  <c r="BE15" i="22" s="1"/>
  <c r="BG15" i="22" s="1"/>
  <c r="AS17" i="22"/>
  <c r="AH126" i="22" l="1"/>
  <c r="AI110" i="22"/>
  <c r="AI126" i="22" s="1"/>
  <c r="AH107" i="22"/>
  <c r="U19" i="22"/>
  <c r="T7" i="22"/>
  <c r="AI82" i="4"/>
  <c r="AJ82" i="4" s="1"/>
  <c r="AK82" i="4" s="1"/>
  <c r="AL82" i="4" s="1"/>
  <c r="AM82" i="4" s="1"/>
  <c r="AN82" i="4" s="1"/>
  <c r="AO82" i="4" s="1"/>
  <c r="AQ82" i="4" s="1"/>
  <c r="AR82" i="4" s="1"/>
  <c r="AS82" i="4" s="1"/>
  <c r="AT82" i="4" s="1"/>
  <c r="AU82" i="4" s="1"/>
  <c r="AV82" i="4" s="1"/>
  <c r="AC82" i="4"/>
  <c r="W83" i="4"/>
  <c r="AH96" i="22"/>
  <c r="AI96" i="22" s="1"/>
  <c r="AH85" i="22"/>
  <c r="AI85" i="22" s="1"/>
  <c r="AJ85" i="22" s="1"/>
  <c r="AK85" i="22" s="1"/>
  <c r="AL85" i="22" s="1"/>
  <c r="AM85" i="22" s="1"/>
  <c r="AN85" i="22" s="1"/>
  <c r="AO85" i="22" s="1"/>
  <c r="AP85" i="22" s="1"/>
  <c r="AQ85" i="22" s="1"/>
  <c r="AR85" i="22" s="1"/>
  <c r="AT85" i="22" s="1"/>
  <c r="AU85" i="22" s="1"/>
  <c r="AS85" i="22"/>
  <c r="R68" i="4"/>
  <c r="AS91" i="22"/>
  <c r="AF85" i="22"/>
  <c r="AF96" i="22"/>
  <c r="V92" i="22"/>
  <c r="W92" i="22" s="1"/>
  <c r="X92" i="22" s="1"/>
  <c r="Y92" i="22" s="1"/>
  <c r="Z92" i="22" s="1"/>
  <c r="AA92" i="22" s="1"/>
  <c r="AB92" i="22" s="1"/>
  <c r="AC92" i="22" s="1"/>
  <c r="AD92" i="22" s="1"/>
  <c r="AE92" i="22" s="1"/>
  <c r="AG92" i="22" s="1"/>
  <c r="AS76" i="22"/>
  <c r="AS86" i="22"/>
  <c r="T102" i="22"/>
  <c r="BF52" i="22"/>
  <c r="AF86" i="22"/>
  <c r="U11" i="22"/>
  <c r="V11" i="22" s="1"/>
  <c r="W11" i="22" s="1"/>
  <c r="X11" i="22" s="1"/>
  <c r="Y11" i="22" s="1"/>
  <c r="Z11" i="22" s="1"/>
  <c r="AA11" i="22" s="1"/>
  <c r="AD11" i="22" s="1"/>
  <c r="AE11" i="22" s="1"/>
  <c r="AG11" i="22" s="1"/>
  <c r="AF76" i="22"/>
  <c r="AS93" i="22"/>
  <c r="AF93" i="22"/>
  <c r="BF44" i="22"/>
  <c r="BH44" i="22"/>
  <c r="BI44" i="22" s="1"/>
  <c r="BJ44" i="22" s="1"/>
  <c r="BK44" i="22" s="1"/>
  <c r="BL44" i="22" s="1"/>
  <c r="BM44" i="22" s="1"/>
  <c r="BN44" i="22" s="1"/>
  <c r="BO44" i="22" s="1"/>
  <c r="BP44" i="22" s="1"/>
  <c r="BQ44" i="22" s="1"/>
  <c r="BR44" i="22" s="1"/>
  <c r="BT44" i="22" s="1"/>
  <c r="BF40" i="22"/>
  <c r="AS72" i="22"/>
  <c r="BF64" i="22"/>
  <c r="BF93" i="22"/>
  <c r="BF39" i="22"/>
  <c r="BF14" i="22"/>
  <c r="BF57" i="22"/>
  <c r="AS79" i="22"/>
  <c r="BF24" i="22"/>
  <c r="BF86" i="22"/>
  <c r="BF51" i="22"/>
  <c r="BF61" i="22"/>
  <c r="BF47" i="22"/>
  <c r="AS70" i="22"/>
  <c r="BF82" i="22"/>
  <c r="BF58" i="22"/>
  <c r="BF65" i="22"/>
  <c r="BF73" i="22"/>
  <c r="BF36" i="22"/>
  <c r="BF31" i="22"/>
  <c r="BF84" i="22"/>
  <c r="BF89" i="22"/>
  <c r="BF74" i="22"/>
  <c r="BF18" i="22"/>
  <c r="BF17" i="22"/>
  <c r="BF76" i="22"/>
  <c r="BF26" i="22"/>
  <c r="BF100" i="22"/>
  <c r="AH99" i="22"/>
  <c r="AI99" i="22" s="1"/>
  <c r="AJ99" i="22" s="1"/>
  <c r="AK99" i="22" s="1"/>
  <c r="AL99" i="22" s="1"/>
  <c r="AM99" i="22" s="1"/>
  <c r="AN99" i="22" s="1"/>
  <c r="AO99" i="22" s="1"/>
  <c r="AP99" i="22" s="1"/>
  <c r="AQ99" i="22" s="1"/>
  <c r="AR99" i="22" s="1"/>
  <c r="AT99" i="22" s="1"/>
  <c r="AF99" i="22"/>
  <c r="AS73" i="22"/>
  <c r="AS68" i="22"/>
  <c r="BF66" i="22"/>
  <c r="BF63" i="22"/>
  <c r="BF53" i="22"/>
  <c r="BF49" i="22"/>
  <c r="BF48" i="22"/>
  <c r="BF45" i="22"/>
  <c r="BF37" i="22"/>
  <c r="BF34" i="22"/>
  <c r="BF32" i="22"/>
  <c r="BH15" i="22"/>
  <c r="BI15" i="22" s="1"/>
  <c r="BJ15" i="22" s="1"/>
  <c r="BK15" i="22" s="1"/>
  <c r="BL15" i="22" s="1"/>
  <c r="BM15" i="22" s="1"/>
  <c r="BN15" i="22" s="1"/>
  <c r="BO15" i="22" s="1"/>
  <c r="BP15" i="22" s="1"/>
  <c r="BQ15" i="22" s="1"/>
  <c r="BR15" i="22" s="1"/>
  <c r="BT15" i="22" s="1"/>
  <c r="BH22" i="22"/>
  <c r="BI22" i="22" s="1"/>
  <c r="BJ22" i="22" s="1"/>
  <c r="BK22" i="22" s="1"/>
  <c r="BL22" i="22" s="1"/>
  <c r="BM22" i="22" s="1"/>
  <c r="BN22" i="22" s="1"/>
  <c r="BO22" i="22" s="1"/>
  <c r="BP22" i="22" s="1"/>
  <c r="BQ22" i="22" s="1"/>
  <c r="BR22" i="22" s="1"/>
  <c r="BT22" i="22" s="1"/>
  <c r="BH23" i="22"/>
  <c r="BI23" i="22" s="1"/>
  <c r="BJ23" i="22" s="1"/>
  <c r="BK23" i="22" s="1"/>
  <c r="BL23" i="22" s="1"/>
  <c r="BM23" i="22" s="1"/>
  <c r="BN23" i="22" s="1"/>
  <c r="BO23" i="22" s="1"/>
  <c r="BP23" i="22" s="1"/>
  <c r="BQ23" i="22" s="1"/>
  <c r="BR23" i="22" s="1"/>
  <c r="BT23" i="22" s="1"/>
  <c r="BH24" i="22"/>
  <c r="BI24" i="22" s="1"/>
  <c r="BJ24" i="22" s="1"/>
  <c r="BK24" i="22" s="1"/>
  <c r="BL24" i="22" s="1"/>
  <c r="BM24" i="22" s="1"/>
  <c r="BN24" i="22" s="1"/>
  <c r="BO24" i="22" s="1"/>
  <c r="BP24" i="22" s="1"/>
  <c r="BQ24" i="22" s="1"/>
  <c r="BR24" i="22" s="1"/>
  <c r="BT24" i="22" s="1"/>
  <c r="BH36" i="22"/>
  <c r="BI36" i="22" s="1"/>
  <c r="BJ36" i="22" s="1"/>
  <c r="BK36" i="22" s="1"/>
  <c r="BL36" i="22" s="1"/>
  <c r="BM36" i="22" s="1"/>
  <c r="BN36" i="22" s="1"/>
  <c r="BO36" i="22" s="1"/>
  <c r="BP36" i="22" s="1"/>
  <c r="BQ36" i="22" s="1"/>
  <c r="BR36" i="22" s="1"/>
  <c r="BT36" i="22" s="1"/>
  <c r="BF13" i="22"/>
  <c r="BH56" i="22"/>
  <c r="BI56" i="22" s="1"/>
  <c r="BJ56" i="22" s="1"/>
  <c r="BK56" i="22" s="1"/>
  <c r="BL56" i="22" s="1"/>
  <c r="BM56" i="22" s="1"/>
  <c r="BN56" i="22" s="1"/>
  <c r="BO56" i="22" s="1"/>
  <c r="BP56" i="22" s="1"/>
  <c r="BQ56" i="22" s="1"/>
  <c r="BR56" i="22" s="1"/>
  <c r="BT56" i="22" s="1"/>
  <c r="BH50" i="22"/>
  <c r="BI50" i="22" s="1"/>
  <c r="BJ50" i="22" s="1"/>
  <c r="BK50" i="22" s="1"/>
  <c r="BL50" i="22" s="1"/>
  <c r="BM50" i="22" s="1"/>
  <c r="BN50" i="22" s="1"/>
  <c r="BO50" i="22" s="1"/>
  <c r="BP50" i="22" s="1"/>
  <c r="BQ50" i="22" s="1"/>
  <c r="BR50" i="22" s="1"/>
  <c r="BT50" i="22" s="1"/>
  <c r="BH55" i="22"/>
  <c r="BI55" i="22" s="1"/>
  <c r="BJ55" i="22" s="1"/>
  <c r="BK55" i="22" s="1"/>
  <c r="BL55" i="22" s="1"/>
  <c r="BM55" i="22" s="1"/>
  <c r="BN55" i="22" s="1"/>
  <c r="BO55" i="22" s="1"/>
  <c r="BP55" i="22" s="1"/>
  <c r="BQ55" i="22" s="1"/>
  <c r="BR55" i="22" s="1"/>
  <c r="BT55" i="22" s="1"/>
  <c r="BH59" i="22"/>
  <c r="BI59" i="22" s="1"/>
  <c r="BJ59" i="22" s="1"/>
  <c r="BK59" i="22" s="1"/>
  <c r="BL59" i="22" s="1"/>
  <c r="BM59" i="22" s="1"/>
  <c r="BN59" i="22" s="1"/>
  <c r="BO59" i="22" s="1"/>
  <c r="BP59" i="22" s="1"/>
  <c r="BQ59" i="22" s="1"/>
  <c r="BR59" i="22" s="1"/>
  <c r="BT59" i="22" s="1"/>
  <c r="BH78" i="22"/>
  <c r="BI78" i="22" s="1"/>
  <c r="BJ78" i="22" s="1"/>
  <c r="BK78" i="22" s="1"/>
  <c r="BL78" i="22" s="1"/>
  <c r="BM78" i="22" s="1"/>
  <c r="BN78" i="22" s="1"/>
  <c r="BO78" i="22" s="1"/>
  <c r="BP78" i="22" s="1"/>
  <c r="BQ78" i="22" s="1"/>
  <c r="BR78" i="22" s="1"/>
  <c r="BT78" i="22" s="1"/>
  <c r="BH80" i="22"/>
  <c r="BI80" i="22" s="1"/>
  <c r="BJ80" i="22" s="1"/>
  <c r="BK80" i="22" s="1"/>
  <c r="BL80" i="22" s="1"/>
  <c r="BM80" i="22" s="1"/>
  <c r="BN80" i="22" s="1"/>
  <c r="BO80" i="22" s="1"/>
  <c r="BP80" i="22" s="1"/>
  <c r="BQ80" i="22" s="1"/>
  <c r="BR80" i="22" s="1"/>
  <c r="BT80" i="22" s="1"/>
  <c r="AU77" i="22"/>
  <c r="AV77" i="22" s="1"/>
  <c r="AW77" i="22" s="1"/>
  <c r="AX77" i="22" s="1"/>
  <c r="AY77" i="22" s="1"/>
  <c r="AZ77" i="22" s="1"/>
  <c r="BA77" i="22" s="1"/>
  <c r="BB77" i="22" s="1"/>
  <c r="BC77" i="22" s="1"/>
  <c r="BD77" i="22" s="1"/>
  <c r="BE77" i="22" s="1"/>
  <c r="BG77" i="22" s="1"/>
  <c r="BH88" i="22"/>
  <c r="BI88" i="22" s="1"/>
  <c r="BJ88" i="22" s="1"/>
  <c r="BK88" i="22" s="1"/>
  <c r="BL88" i="22" s="1"/>
  <c r="BM88" i="22" s="1"/>
  <c r="BN88" i="22" s="1"/>
  <c r="BO88" i="22" s="1"/>
  <c r="BP88" i="22" s="1"/>
  <c r="BQ88" i="22" s="1"/>
  <c r="BR88" i="22" s="1"/>
  <c r="BT88" i="22" s="1"/>
  <c r="BH90" i="22"/>
  <c r="BI90" i="22" s="1"/>
  <c r="BJ90" i="22" s="1"/>
  <c r="BK90" i="22" s="1"/>
  <c r="BL90" i="22" s="1"/>
  <c r="BM90" i="22" s="1"/>
  <c r="BN90" i="22" s="1"/>
  <c r="BO90" i="22" s="1"/>
  <c r="BP90" i="22" s="1"/>
  <c r="BQ90" i="22" s="1"/>
  <c r="BR90" i="22" s="1"/>
  <c r="BT90" i="22" s="1"/>
  <c r="BH91" i="22"/>
  <c r="BI91" i="22" s="1"/>
  <c r="BJ91" i="22" s="1"/>
  <c r="BK91" i="22" s="1"/>
  <c r="BL91" i="22" s="1"/>
  <c r="BM91" i="22" s="1"/>
  <c r="BN91" i="22" s="1"/>
  <c r="BO91" i="22" s="1"/>
  <c r="BP91" i="22" s="1"/>
  <c r="BQ91" i="22" s="1"/>
  <c r="BR91" i="22" s="1"/>
  <c r="BT91" i="22" s="1"/>
  <c r="BH94" i="22"/>
  <c r="BI94" i="22" s="1"/>
  <c r="BJ94" i="22" s="1"/>
  <c r="BK94" i="22" s="1"/>
  <c r="BL94" i="22" s="1"/>
  <c r="BM94" i="22" s="1"/>
  <c r="BN94" i="22" s="1"/>
  <c r="BO94" i="22" s="1"/>
  <c r="BP94" i="22" s="1"/>
  <c r="BQ94" i="22" s="1"/>
  <c r="BR94" i="22" s="1"/>
  <c r="BT94" i="22" s="1"/>
  <c r="BH95" i="22"/>
  <c r="BI95" i="22" s="1"/>
  <c r="BJ95" i="22" s="1"/>
  <c r="BK95" i="22" s="1"/>
  <c r="BL95" i="22" s="1"/>
  <c r="BM95" i="22" s="1"/>
  <c r="BN95" i="22" s="1"/>
  <c r="BO95" i="22" s="1"/>
  <c r="BP95" i="22" s="1"/>
  <c r="BQ95" i="22" s="1"/>
  <c r="BR95" i="22" s="1"/>
  <c r="BT95" i="22" s="1"/>
  <c r="BH98" i="22"/>
  <c r="BI98" i="22" s="1"/>
  <c r="BJ98" i="22" s="1"/>
  <c r="BK98" i="22" s="1"/>
  <c r="BL98" i="22" s="1"/>
  <c r="BM98" i="22" s="1"/>
  <c r="BN98" i="22" s="1"/>
  <c r="BO98" i="22" s="1"/>
  <c r="BP98" i="22" s="1"/>
  <c r="BQ98" i="22" s="1"/>
  <c r="BR98" i="22" s="1"/>
  <c r="BT98" i="22" s="1"/>
  <c r="BH84" i="22"/>
  <c r="BI84" i="22" s="1"/>
  <c r="BJ84" i="22" s="1"/>
  <c r="BK84" i="22" s="1"/>
  <c r="BL84" i="22" s="1"/>
  <c r="BM84" i="22" s="1"/>
  <c r="BN84" i="22" s="1"/>
  <c r="BO84" i="22" s="1"/>
  <c r="BP84" i="22" s="1"/>
  <c r="BQ84" i="22" s="1"/>
  <c r="BR84" i="22" s="1"/>
  <c r="BT84" i="22" s="1"/>
  <c r="BH86" i="22"/>
  <c r="BI86" i="22" s="1"/>
  <c r="BJ86" i="22" s="1"/>
  <c r="BK86" i="22" s="1"/>
  <c r="BL86" i="22" s="1"/>
  <c r="BM86" i="22" s="1"/>
  <c r="BN86" i="22" s="1"/>
  <c r="BO86" i="22" s="1"/>
  <c r="BP86" i="22" s="1"/>
  <c r="BQ86" i="22" s="1"/>
  <c r="BR86" i="22" s="1"/>
  <c r="BT86" i="22" s="1"/>
  <c r="BH89" i="22"/>
  <c r="BI89" i="22" s="1"/>
  <c r="BJ89" i="22" s="1"/>
  <c r="BK89" i="22" s="1"/>
  <c r="BL89" i="22" s="1"/>
  <c r="BM89" i="22" s="1"/>
  <c r="BN89" i="22" s="1"/>
  <c r="BO89" i="22" s="1"/>
  <c r="BP89" i="22" s="1"/>
  <c r="BQ89" i="22" s="1"/>
  <c r="BR89" i="22" s="1"/>
  <c r="BT89" i="22" s="1"/>
  <c r="BH100" i="22"/>
  <c r="BI100" i="22" s="1"/>
  <c r="BJ100" i="22" s="1"/>
  <c r="BK100" i="22" s="1"/>
  <c r="BL100" i="22" s="1"/>
  <c r="BM100" i="22" s="1"/>
  <c r="BN100" i="22" s="1"/>
  <c r="BO100" i="22" s="1"/>
  <c r="BP100" i="22" s="1"/>
  <c r="BQ100" i="22" s="1"/>
  <c r="BR100" i="22" s="1"/>
  <c r="BT100" i="22" s="1"/>
  <c r="BH17" i="22"/>
  <c r="BI17" i="22" s="1"/>
  <c r="BJ17" i="22" s="1"/>
  <c r="BK17" i="22" s="1"/>
  <c r="BL17" i="22" s="1"/>
  <c r="BM17" i="22" s="1"/>
  <c r="BN17" i="22" s="1"/>
  <c r="BO17" i="22" s="1"/>
  <c r="BP17" i="22" s="1"/>
  <c r="BQ17" i="22" s="1"/>
  <c r="BR17" i="22" s="1"/>
  <c r="BT17" i="22" s="1"/>
  <c r="BF16" i="22"/>
  <c r="BF27" i="22"/>
  <c r="BF33" i="22"/>
  <c r="BF35" i="22"/>
  <c r="BH12" i="22"/>
  <c r="BI12" i="22" s="1"/>
  <c r="BJ12" i="22" s="1"/>
  <c r="BK12" i="22" s="1"/>
  <c r="BL12" i="22" s="1"/>
  <c r="BM12" i="22" s="1"/>
  <c r="BN12" i="22" s="1"/>
  <c r="BO12" i="22" s="1"/>
  <c r="BP12" i="22" s="1"/>
  <c r="BQ12" i="22" s="1"/>
  <c r="BR12" i="22" s="1"/>
  <c r="BT12" i="22" s="1"/>
  <c r="BH14" i="22"/>
  <c r="BI14" i="22" s="1"/>
  <c r="BJ14" i="22" s="1"/>
  <c r="BK14" i="22" s="1"/>
  <c r="BL14" i="22" s="1"/>
  <c r="BM14" i="22" s="1"/>
  <c r="BN14" i="22" s="1"/>
  <c r="BO14" i="22" s="1"/>
  <c r="BP14" i="22" s="1"/>
  <c r="BQ14" i="22" s="1"/>
  <c r="BR14" i="22" s="1"/>
  <c r="BT14" i="22" s="1"/>
  <c r="BH18" i="22"/>
  <c r="BI18" i="22" s="1"/>
  <c r="BJ18" i="22" s="1"/>
  <c r="BK18" i="22" s="1"/>
  <c r="BL18" i="22" s="1"/>
  <c r="BM18" i="22" s="1"/>
  <c r="BN18" i="22" s="1"/>
  <c r="BO18" i="22" s="1"/>
  <c r="BP18" i="22" s="1"/>
  <c r="BQ18" i="22" s="1"/>
  <c r="BR18" i="22" s="1"/>
  <c r="BT18" i="22" s="1"/>
  <c r="BH26" i="22"/>
  <c r="BI26" i="22" s="1"/>
  <c r="BJ26" i="22" s="1"/>
  <c r="BK26" i="22" s="1"/>
  <c r="BL26" i="22" s="1"/>
  <c r="BM26" i="22" s="1"/>
  <c r="BN26" i="22" s="1"/>
  <c r="BO26" i="22" s="1"/>
  <c r="BP26" i="22" s="1"/>
  <c r="BQ26" i="22" s="1"/>
  <c r="BR26" i="22" s="1"/>
  <c r="BT26" i="22" s="1"/>
  <c r="BH32" i="22"/>
  <c r="BI32" i="22" s="1"/>
  <c r="BJ32" i="22" s="1"/>
  <c r="BK32" i="22" s="1"/>
  <c r="BL32" i="22" s="1"/>
  <c r="BM32" i="22" s="1"/>
  <c r="BN32" i="22" s="1"/>
  <c r="BO32" i="22" s="1"/>
  <c r="BP32" i="22" s="1"/>
  <c r="BQ32" i="22" s="1"/>
  <c r="BR32" i="22" s="1"/>
  <c r="BT32" i="22" s="1"/>
  <c r="BH34" i="22"/>
  <c r="BI34" i="22" s="1"/>
  <c r="BJ34" i="22" s="1"/>
  <c r="BK34" i="22" s="1"/>
  <c r="BL34" i="22" s="1"/>
  <c r="BM34" i="22" s="1"/>
  <c r="BN34" i="22" s="1"/>
  <c r="BO34" i="22" s="1"/>
  <c r="BP34" i="22" s="1"/>
  <c r="BQ34" i="22" s="1"/>
  <c r="BR34" i="22" s="1"/>
  <c r="BT34" i="22" s="1"/>
  <c r="BF29" i="22"/>
  <c r="BH41" i="22"/>
  <c r="BI41" i="22" s="1"/>
  <c r="BJ41" i="22" s="1"/>
  <c r="BK41" i="22" s="1"/>
  <c r="BL41" i="22" s="1"/>
  <c r="BM41" i="22" s="1"/>
  <c r="BN41" i="22" s="1"/>
  <c r="BO41" i="22" s="1"/>
  <c r="BP41" i="22" s="1"/>
  <c r="BQ41" i="22" s="1"/>
  <c r="BR41" i="22" s="1"/>
  <c r="BT41" i="22" s="1"/>
  <c r="BH45" i="22"/>
  <c r="BI45" i="22" s="1"/>
  <c r="BJ45" i="22" s="1"/>
  <c r="BK45" i="22" s="1"/>
  <c r="BL45" i="22" s="1"/>
  <c r="BM45" i="22" s="1"/>
  <c r="BN45" i="22" s="1"/>
  <c r="BO45" i="22" s="1"/>
  <c r="BP45" i="22" s="1"/>
  <c r="BQ45" i="22" s="1"/>
  <c r="BR45" i="22" s="1"/>
  <c r="BT45" i="22" s="1"/>
  <c r="BH49" i="22"/>
  <c r="BI49" i="22" s="1"/>
  <c r="BJ49" i="22" s="1"/>
  <c r="BK49" i="22" s="1"/>
  <c r="BL49" i="22" s="1"/>
  <c r="BM49" i="22" s="1"/>
  <c r="BN49" i="22" s="1"/>
  <c r="BO49" i="22" s="1"/>
  <c r="BP49" i="22" s="1"/>
  <c r="BQ49" i="22" s="1"/>
  <c r="BR49" i="22" s="1"/>
  <c r="BT49" i="22" s="1"/>
  <c r="BH51" i="22"/>
  <c r="BI51" i="22" s="1"/>
  <c r="BJ51" i="22" s="1"/>
  <c r="BK51" i="22" s="1"/>
  <c r="BL51" i="22" s="1"/>
  <c r="BM51" i="22" s="1"/>
  <c r="BN51" i="22" s="1"/>
  <c r="BO51" i="22" s="1"/>
  <c r="BP51" i="22" s="1"/>
  <c r="BQ51" i="22" s="1"/>
  <c r="BR51" i="22" s="1"/>
  <c r="BT51" i="22" s="1"/>
  <c r="BH53" i="22"/>
  <c r="BI53" i="22" s="1"/>
  <c r="BJ53" i="22" s="1"/>
  <c r="BK53" i="22" s="1"/>
  <c r="BL53" i="22" s="1"/>
  <c r="BM53" i="22" s="1"/>
  <c r="BN53" i="22" s="1"/>
  <c r="BO53" i="22" s="1"/>
  <c r="BP53" i="22" s="1"/>
  <c r="BQ53" i="22" s="1"/>
  <c r="BR53" i="22" s="1"/>
  <c r="BT53" i="22" s="1"/>
  <c r="BH57" i="22"/>
  <c r="BI57" i="22" s="1"/>
  <c r="BJ57" i="22" s="1"/>
  <c r="BK57" i="22" s="1"/>
  <c r="BL57" i="22" s="1"/>
  <c r="BM57" i="22" s="1"/>
  <c r="BN57" i="22" s="1"/>
  <c r="BO57" i="22" s="1"/>
  <c r="BP57" i="22" s="1"/>
  <c r="BQ57" i="22" s="1"/>
  <c r="BR57" i="22" s="1"/>
  <c r="BT57" i="22" s="1"/>
  <c r="BH58" i="22"/>
  <c r="BI58" i="22" s="1"/>
  <c r="BJ58" i="22" s="1"/>
  <c r="BK58" i="22" s="1"/>
  <c r="BL58" i="22" s="1"/>
  <c r="BM58" i="22" s="1"/>
  <c r="BN58" i="22" s="1"/>
  <c r="BO58" i="22" s="1"/>
  <c r="BP58" i="22" s="1"/>
  <c r="BQ58" i="22" s="1"/>
  <c r="BR58" i="22" s="1"/>
  <c r="BT58" i="22" s="1"/>
  <c r="I102" i="22"/>
  <c r="I7" i="22" s="1"/>
  <c r="J10" i="22"/>
  <c r="BF28" i="22"/>
  <c r="BH39" i="22"/>
  <c r="BI39" i="22" s="1"/>
  <c r="BJ39" i="22" s="1"/>
  <c r="BK39" i="22" s="1"/>
  <c r="BL39" i="22" s="1"/>
  <c r="BM39" i="22" s="1"/>
  <c r="BN39" i="22" s="1"/>
  <c r="BO39" i="22" s="1"/>
  <c r="BP39" i="22" s="1"/>
  <c r="BQ39" i="22" s="1"/>
  <c r="BR39" i="22" s="1"/>
  <c r="BT39" i="22" s="1"/>
  <c r="BF43" i="22"/>
  <c r="BF46" i="22"/>
  <c r="BF54" i="22"/>
  <c r="BH61" i="22"/>
  <c r="BI61" i="22" s="1"/>
  <c r="BJ61" i="22" s="1"/>
  <c r="BK61" i="22" s="1"/>
  <c r="BL61" i="22" s="1"/>
  <c r="BM61" i="22" s="1"/>
  <c r="BN61" i="22" s="1"/>
  <c r="BO61" i="22" s="1"/>
  <c r="BP61" i="22" s="1"/>
  <c r="BQ61" i="22" s="1"/>
  <c r="BR61" i="22" s="1"/>
  <c r="BT61" i="22" s="1"/>
  <c r="BH63" i="22"/>
  <c r="BI63" i="22" s="1"/>
  <c r="BJ63" i="22" s="1"/>
  <c r="BK63" i="22" s="1"/>
  <c r="BL63" i="22" s="1"/>
  <c r="BM63" i="22" s="1"/>
  <c r="BN63" i="22" s="1"/>
  <c r="BO63" i="22" s="1"/>
  <c r="BP63" i="22" s="1"/>
  <c r="BQ63" i="22" s="1"/>
  <c r="BR63" i="22" s="1"/>
  <c r="BT63" i="22" s="1"/>
  <c r="BH64" i="22"/>
  <c r="BI64" i="22" s="1"/>
  <c r="BJ64" i="22" s="1"/>
  <c r="BK64" i="22" s="1"/>
  <c r="BL64" i="22" s="1"/>
  <c r="BM64" i="22" s="1"/>
  <c r="BN64" i="22" s="1"/>
  <c r="BO64" i="22" s="1"/>
  <c r="BP64" i="22" s="1"/>
  <c r="BQ64" i="22" s="1"/>
  <c r="BR64" i="22" s="1"/>
  <c r="BT64" i="22" s="1"/>
  <c r="BH65" i="22"/>
  <c r="BI65" i="22" s="1"/>
  <c r="BJ65" i="22" s="1"/>
  <c r="BK65" i="22" s="1"/>
  <c r="BL65" i="22" s="1"/>
  <c r="BM65" i="22" s="1"/>
  <c r="BN65" i="22" s="1"/>
  <c r="BO65" i="22" s="1"/>
  <c r="BP65" i="22" s="1"/>
  <c r="BQ65" i="22" s="1"/>
  <c r="BR65" i="22" s="1"/>
  <c r="BT65" i="22" s="1"/>
  <c r="BF60" i="22"/>
  <c r="BH74" i="22"/>
  <c r="BI74" i="22" s="1"/>
  <c r="BJ74" i="22" s="1"/>
  <c r="BK74" i="22" s="1"/>
  <c r="BL74" i="22" s="1"/>
  <c r="BM74" i="22" s="1"/>
  <c r="BN74" i="22" s="1"/>
  <c r="BO74" i="22" s="1"/>
  <c r="BP74" i="22" s="1"/>
  <c r="BQ74" i="22" s="1"/>
  <c r="BR74" i="22" s="1"/>
  <c r="BT74" i="22" s="1"/>
  <c r="AS67" i="22"/>
  <c r="AS69" i="22"/>
  <c r="AS71" i="22"/>
  <c r="BH76" i="22"/>
  <c r="BI76" i="22" s="1"/>
  <c r="BJ76" i="22" s="1"/>
  <c r="BK76" i="22" s="1"/>
  <c r="BL76" i="22" s="1"/>
  <c r="BM76" i="22" s="1"/>
  <c r="BN76" i="22" s="1"/>
  <c r="BO76" i="22" s="1"/>
  <c r="BP76" i="22" s="1"/>
  <c r="BQ76" i="22" s="1"/>
  <c r="BR76" i="22" s="1"/>
  <c r="BT76" i="22" s="1"/>
  <c r="AU79" i="22"/>
  <c r="AV79" i="22" s="1"/>
  <c r="AW79" i="22" s="1"/>
  <c r="AX79" i="22" s="1"/>
  <c r="AY79" i="22" s="1"/>
  <c r="AZ79" i="22" s="1"/>
  <c r="BA79" i="22" s="1"/>
  <c r="BB79" i="22" s="1"/>
  <c r="BC79" i="22" s="1"/>
  <c r="BD79" i="22" s="1"/>
  <c r="BE79" i="22" s="1"/>
  <c r="BG79" i="22" s="1"/>
  <c r="BF83" i="22"/>
  <c r="BF87" i="22"/>
  <c r="BH21" i="22"/>
  <c r="BI21" i="22" s="1"/>
  <c r="BJ21" i="22" s="1"/>
  <c r="BK21" i="22" s="1"/>
  <c r="BL21" i="22" s="1"/>
  <c r="BM21" i="22" s="1"/>
  <c r="BN21" i="22" s="1"/>
  <c r="BO21" i="22" s="1"/>
  <c r="BP21" i="22" s="1"/>
  <c r="BQ21" i="22" s="1"/>
  <c r="BR21" i="22" s="1"/>
  <c r="BT21" i="22" s="1"/>
  <c r="BF15" i="22"/>
  <c r="BF21" i="22"/>
  <c r="BF22" i="22"/>
  <c r="BF23" i="22"/>
  <c r="BH13" i="22"/>
  <c r="BI13" i="22" s="1"/>
  <c r="BJ13" i="22" s="1"/>
  <c r="BK13" i="22" s="1"/>
  <c r="BL13" i="22" s="1"/>
  <c r="BM13" i="22" s="1"/>
  <c r="BN13" i="22" s="1"/>
  <c r="BO13" i="22" s="1"/>
  <c r="BP13" i="22" s="1"/>
  <c r="BQ13" i="22" s="1"/>
  <c r="BR13" i="22" s="1"/>
  <c r="BT13" i="22" s="1"/>
  <c r="BH31" i="22"/>
  <c r="BI31" i="22" s="1"/>
  <c r="BJ31" i="22" s="1"/>
  <c r="BK31" i="22" s="1"/>
  <c r="BL31" i="22" s="1"/>
  <c r="BM31" i="22" s="1"/>
  <c r="BN31" i="22" s="1"/>
  <c r="BO31" i="22" s="1"/>
  <c r="BP31" i="22" s="1"/>
  <c r="BQ31" i="22" s="1"/>
  <c r="BR31" i="22" s="1"/>
  <c r="BT31" i="22" s="1"/>
  <c r="BH40" i="22"/>
  <c r="BI40" i="22" s="1"/>
  <c r="BJ40" i="22" s="1"/>
  <c r="BK40" i="22" s="1"/>
  <c r="BL40" i="22" s="1"/>
  <c r="BM40" i="22" s="1"/>
  <c r="BN40" i="22" s="1"/>
  <c r="BO40" i="22" s="1"/>
  <c r="BP40" i="22" s="1"/>
  <c r="BQ40" i="22" s="1"/>
  <c r="BR40" i="22" s="1"/>
  <c r="BT40" i="22" s="1"/>
  <c r="BH48" i="22"/>
  <c r="BI48" i="22" s="1"/>
  <c r="BJ48" i="22" s="1"/>
  <c r="BK48" i="22" s="1"/>
  <c r="BL48" i="22" s="1"/>
  <c r="BM48" i="22" s="1"/>
  <c r="BN48" i="22" s="1"/>
  <c r="BO48" i="22" s="1"/>
  <c r="BP48" i="22" s="1"/>
  <c r="BQ48" i="22" s="1"/>
  <c r="BR48" i="22" s="1"/>
  <c r="BT48" i="22" s="1"/>
  <c r="BH52" i="22"/>
  <c r="BI52" i="22" s="1"/>
  <c r="BJ52" i="22" s="1"/>
  <c r="BK52" i="22" s="1"/>
  <c r="BL52" i="22" s="1"/>
  <c r="BM52" i="22" s="1"/>
  <c r="BN52" i="22" s="1"/>
  <c r="BO52" i="22" s="1"/>
  <c r="BP52" i="22" s="1"/>
  <c r="BQ52" i="22" s="1"/>
  <c r="BR52" i="22" s="1"/>
  <c r="BT52" i="22" s="1"/>
  <c r="BF56" i="22"/>
  <c r="BH37" i="22"/>
  <c r="BI37" i="22" s="1"/>
  <c r="BJ37" i="22" s="1"/>
  <c r="BK37" i="22" s="1"/>
  <c r="BL37" i="22" s="1"/>
  <c r="BM37" i="22" s="1"/>
  <c r="BN37" i="22" s="1"/>
  <c r="BO37" i="22" s="1"/>
  <c r="BP37" i="22" s="1"/>
  <c r="BQ37" i="22" s="1"/>
  <c r="BR37" i="22" s="1"/>
  <c r="BT37" i="22" s="1"/>
  <c r="BH47" i="22"/>
  <c r="BI47" i="22" s="1"/>
  <c r="BJ47" i="22" s="1"/>
  <c r="BK47" i="22" s="1"/>
  <c r="BL47" i="22" s="1"/>
  <c r="BM47" i="22" s="1"/>
  <c r="BN47" i="22" s="1"/>
  <c r="BO47" i="22" s="1"/>
  <c r="BP47" i="22" s="1"/>
  <c r="BQ47" i="22" s="1"/>
  <c r="BR47" i="22" s="1"/>
  <c r="BT47" i="22" s="1"/>
  <c r="BF50" i="22"/>
  <c r="BF55" i="22"/>
  <c r="BF59" i="22"/>
  <c r="BH73" i="22"/>
  <c r="BI73" i="22" s="1"/>
  <c r="BJ73" i="22" s="1"/>
  <c r="BK73" i="22" s="1"/>
  <c r="BL73" i="22" s="1"/>
  <c r="BM73" i="22" s="1"/>
  <c r="BN73" i="22" s="1"/>
  <c r="BO73" i="22" s="1"/>
  <c r="BP73" i="22" s="1"/>
  <c r="BQ73" i="22" s="1"/>
  <c r="BR73" i="22" s="1"/>
  <c r="BT73" i="22" s="1"/>
  <c r="BH66" i="22"/>
  <c r="BI66" i="22" s="1"/>
  <c r="BJ66" i="22" s="1"/>
  <c r="BK66" i="22" s="1"/>
  <c r="BL66" i="22" s="1"/>
  <c r="BM66" i="22" s="1"/>
  <c r="BN66" i="22" s="1"/>
  <c r="BO66" i="22" s="1"/>
  <c r="BP66" i="22" s="1"/>
  <c r="BQ66" i="22" s="1"/>
  <c r="BR66" i="22" s="1"/>
  <c r="BT66" i="22" s="1"/>
  <c r="AU68" i="22"/>
  <c r="AV68" i="22" s="1"/>
  <c r="AW68" i="22" s="1"/>
  <c r="AX68" i="22" s="1"/>
  <c r="AY68" i="22" s="1"/>
  <c r="AZ68" i="22" s="1"/>
  <c r="BA68" i="22" s="1"/>
  <c r="BB68" i="22" s="1"/>
  <c r="BC68" i="22" s="1"/>
  <c r="BD68" i="22" s="1"/>
  <c r="BE68" i="22" s="1"/>
  <c r="BG68" i="22" s="1"/>
  <c r="AU70" i="22"/>
  <c r="AV70" i="22" s="1"/>
  <c r="AW70" i="22" s="1"/>
  <c r="AX70" i="22" s="1"/>
  <c r="AY70" i="22" s="1"/>
  <c r="AZ70" i="22" s="1"/>
  <c r="BA70" i="22" s="1"/>
  <c r="BB70" i="22" s="1"/>
  <c r="BC70" i="22" s="1"/>
  <c r="BD70" i="22" s="1"/>
  <c r="BE70" i="22" s="1"/>
  <c r="BG70" i="22" s="1"/>
  <c r="AU72" i="22"/>
  <c r="AV72" i="22" s="1"/>
  <c r="AW72" i="22" s="1"/>
  <c r="AX72" i="22" s="1"/>
  <c r="AY72" i="22" s="1"/>
  <c r="AZ72" i="22" s="1"/>
  <c r="BA72" i="22" s="1"/>
  <c r="BB72" i="22" s="1"/>
  <c r="BC72" i="22" s="1"/>
  <c r="BD72" i="22" s="1"/>
  <c r="BE72" i="22" s="1"/>
  <c r="BG72" i="22" s="1"/>
  <c r="BF78" i="22"/>
  <c r="BF80" i="22"/>
  <c r="BH82" i="22"/>
  <c r="BI82" i="22" s="1"/>
  <c r="BJ82" i="22" s="1"/>
  <c r="BK82" i="22" s="1"/>
  <c r="BL82" i="22" s="1"/>
  <c r="BM82" i="22" s="1"/>
  <c r="BN82" i="22" s="1"/>
  <c r="BO82" i="22" s="1"/>
  <c r="BP82" i="22" s="1"/>
  <c r="BQ82" i="22" s="1"/>
  <c r="BR82" i="22" s="1"/>
  <c r="BT82" i="22" s="1"/>
  <c r="AS77" i="22"/>
  <c r="BF88" i="22"/>
  <c r="BH93" i="22"/>
  <c r="BI93" i="22" s="1"/>
  <c r="BJ93" i="22" s="1"/>
  <c r="BK93" i="22" s="1"/>
  <c r="BL93" i="22" s="1"/>
  <c r="BM93" i="22" s="1"/>
  <c r="BN93" i="22" s="1"/>
  <c r="BO93" i="22" s="1"/>
  <c r="BP93" i="22" s="1"/>
  <c r="BQ93" i="22" s="1"/>
  <c r="BR93" i="22" s="1"/>
  <c r="BT93" i="22" s="1"/>
  <c r="BF90" i="22"/>
  <c r="BF91" i="22"/>
  <c r="AF91" i="22"/>
  <c r="BF94" i="22"/>
  <c r="BF95" i="22"/>
  <c r="BF98" i="22"/>
  <c r="BH16" i="22"/>
  <c r="BI16" i="22" s="1"/>
  <c r="BJ16" i="22" s="1"/>
  <c r="BK16" i="22" s="1"/>
  <c r="BL16" i="22" s="1"/>
  <c r="BM16" i="22" s="1"/>
  <c r="BN16" i="22" s="1"/>
  <c r="BO16" i="22" s="1"/>
  <c r="BP16" i="22" s="1"/>
  <c r="BQ16" i="22" s="1"/>
  <c r="BR16" i="22" s="1"/>
  <c r="BT16" i="22" s="1"/>
  <c r="BH27" i="22"/>
  <c r="BI27" i="22" s="1"/>
  <c r="BJ27" i="22" s="1"/>
  <c r="BK27" i="22" s="1"/>
  <c r="BL27" i="22" s="1"/>
  <c r="BM27" i="22" s="1"/>
  <c r="BN27" i="22" s="1"/>
  <c r="BO27" i="22" s="1"/>
  <c r="BP27" i="22" s="1"/>
  <c r="BQ27" i="22" s="1"/>
  <c r="BR27" i="22" s="1"/>
  <c r="BT27" i="22" s="1"/>
  <c r="BH33" i="22"/>
  <c r="BI33" i="22" s="1"/>
  <c r="BJ33" i="22" s="1"/>
  <c r="BK33" i="22" s="1"/>
  <c r="BL33" i="22" s="1"/>
  <c r="BM33" i="22" s="1"/>
  <c r="BN33" i="22" s="1"/>
  <c r="BO33" i="22" s="1"/>
  <c r="BP33" i="22" s="1"/>
  <c r="BQ33" i="22" s="1"/>
  <c r="BR33" i="22" s="1"/>
  <c r="BT33" i="22" s="1"/>
  <c r="BH35" i="22"/>
  <c r="BI35" i="22" s="1"/>
  <c r="BJ35" i="22" s="1"/>
  <c r="BK35" i="22" s="1"/>
  <c r="BL35" i="22" s="1"/>
  <c r="BM35" i="22" s="1"/>
  <c r="BN35" i="22" s="1"/>
  <c r="BO35" i="22" s="1"/>
  <c r="BP35" i="22" s="1"/>
  <c r="BQ35" i="22" s="1"/>
  <c r="BR35" i="22" s="1"/>
  <c r="BT35" i="22" s="1"/>
  <c r="BF12" i="22"/>
  <c r="BH29" i="22"/>
  <c r="BI29" i="22" s="1"/>
  <c r="BJ29" i="22" s="1"/>
  <c r="BK29" i="22" s="1"/>
  <c r="BL29" i="22" s="1"/>
  <c r="BM29" i="22" s="1"/>
  <c r="BN29" i="22" s="1"/>
  <c r="BO29" i="22" s="1"/>
  <c r="BP29" i="22" s="1"/>
  <c r="BQ29" i="22" s="1"/>
  <c r="BR29" i="22" s="1"/>
  <c r="BT29" i="22" s="1"/>
  <c r="BF41" i="22"/>
  <c r="X10" i="22"/>
  <c r="BH28" i="22"/>
  <c r="BI28" i="22" s="1"/>
  <c r="BJ28" i="22" s="1"/>
  <c r="BK28" i="22" s="1"/>
  <c r="BL28" i="22" s="1"/>
  <c r="BM28" i="22" s="1"/>
  <c r="BN28" i="22" s="1"/>
  <c r="BO28" i="22" s="1"/>
  <c r="BP28" i="22" s="1"/>
  <c r="BQ28" i="22" s="1"/>
  <c r="BR28" i="22" s="1"/>
  <c r="BT28" i="22" s="1"/>
  <c r="BH43" i="22"/>
  <c r="BI43" i="22" s="1"/>
  <c r="BJ43" i="22" s="1"/>
  <c r="BK43" i="22" s="1"/>
  <c r="BL43" i="22" s="1"/>
  <c r="BM43" i="22" s="1"/>
  <c r="BN43" i="22" s="1"/>
  <c r="BO43" i="22" s="1"/>
  <c r="BP43" i="22" s="1"/>
  <c r="BQ43" i="22" s="1"/>
  <c r="BR43" i="22" s="1"/>
  <c r="BT43" i="22" s="1"/>
  <c r="BH46" i="22"/>
  <c r="BI46" i="22" s="1"/>
  <c r="BJ46" i="22" s="1"/>
  <c r="BK46" i="22" s="1"/>
  <c r="BL46" i="22" s="1"/>
  <c r="BM46" i="22" s="1"/>
  <c r="BN46" i="22" s="1"/>
  <c r="BO46" i="22" s="1"/>
  <c r="BP46" i="22" s="1"/>
  <c r="BQ46" i="22" s="1"/>
  <c r="BR46" i="22" s="1"/>
  <c r="BT46" i="22" s="1"/>
  <c r="BH54" i="22"/>
  <c r="BI54" i="22" s="1"/>
  <c r="BJ54" i="22" s="1"/>
  <c r="BK54" i="22" s="1"/>
  <c r="BL54" i="22" s="1"/>
  <c r="BM54" i="22" s="1"/>
  <c r="BN54" i="22" s="1"/>
  <c r="BO54" i="22" s="1"/>
  <c r="BP54" i="22" s="1"/>
  <c r="BQ54" i="22" s="1"/>
  <c r="BR54" i="22" s="1"/>
  <c r="BT54" i="22" s="1"/>
  <c r="BH60" i="22"/>
  <c r="BI60" i="22" s="1"/>
  <c r="BJ60" i="22" s="1"/>
  <c r="BK60" i="22" s="1"/>
  <c r="BL60" i="22" s="1"/>
  <c r="BM60" i="22" s="1"/>
  <c r="BN60" i="22" s="1"/>
  <c r="BO60" i="22" s="1"/>
  <c r="BP60" i="22" s="1"/>
  <c r="BQ60" i="22" s="1"/>
  <c r="BR60" i="22" s="1"/>
  <c r="BT60" i="22" s="1"/>
  <c r="AU67" i="22"/>
  <c r="AV67" i="22" s="1"/>
  <c r="AW67" i="22" s="1"/>
  <c r="AX67" i="22" s="1"/>
  <c r="AY67" i="22" s="1"/>
  <c r="AZ67" i="22" s="1"/>
  <c r="BA67" i="22" s="1"/>
  <c r="BB67" i="22" s="1"/>
  <c r="BC67" i="22" s="1"/>
  <c r="BD67" i="22" s="1"/>
  <c r="BE67" i="22" s="1"/>
  <c r="BG67" i="22" s="1"/>
  <c r="AU69" i="22"/>
  <c r="AV69" i="22" s="1"/>
  <c r="AW69" i="22" s="1"/>
  <c r="AX69" i="22" s="1"/>
  <c r="AY69" i="22" s="1"/>
  <c r="AZ69" i="22" s="1"/>
  <c r="BA69" i="22" s="1"/>
  <c r="BB69" i="22" s="1"/>
  <c r="BC69" i="22" s="1"/>
  <c r="BD69" i="22" s="1"/>
  <c r="BE69" i="22" s="1"/>
  <c r="BG69" i="22" s="1"/>
  <c r="AU71" i="22"/>
  <c r="AV71" i="22" s="1"/>
  <c r="AW71" i="22" s="1"/>
  <c r="AX71" i="22" s="1"/>
  <c r="AY71" i="22" s="1"/>
  <c r="AZ71" i="22" s="1"/>
  <c r="BA71" i="22" s="1"/>
  <c r="BB71" i="22" s="1"/>
  <c r="BC71" i="22" s="1"/>
  <c r="BD71" i="22" s="1"/>
  <c r="BE71" i="22" s="1"/>
  <c r="BG71" i="22" s="1"/>
  <c r="BH83" i="22"/>
  <c r="BI83" i="22" s="1"/>
  <c r="BJ83" i="22" s="1"/>
  <c r="BK83" i="22" s="1"/>
  <c r="BL83" i="22" s="1"/>
  <c r="BM83" i="22" s="1"/>
  <c r="BN83" i="22" s="1"/>
  <c r="BO83" i="22" s="1"/>
  <c r="BP83" i="22" s="1"/>
  <c r="BQ83" i="22" s="1"/>
  <c r="BR83" i="22" s="1"/>
  <c r="BT83" i="22" s="1"/>
  <c r="BH87" i="22"/>
  <c r="BI87" i="22" s="1"/>
  <c r="BJ87" i="22" s="1"/>
  <c r="BK87" i="22" s="1"/>
  <c r="BL87" i="22" s="1"/>
  <c r="BM87" i="22" s="1"/>
  <c r="BN87" i="22" s="1"/>
  <c r="BO87" i="22" s="1"/>
  <c r="BP87" i="22" s="1"/>
  <c r="BQ87" i="22" s="1"/>
  <c r="BR87" i="22" s="1"/>
  <c r="BT87" i="22" s="1"/>
  <c r="AP82" i="4" l="1"/>
  <c r="AJ110" i="22"/>
  <c r="AI107" i="22"/>
  <c r="V19" i="22"/>
  <c r="V102" i="22" s="1"/>
  <c r="F65" i="4" s="1"/>
  <c r="F67" i="4" s="1"/>
  <c r="U7" i="22"/>
  <c r="X83" i="4"/>
  <c r="AW82" i="4"/>
  <c r="AJ96" i="22"/>
  <c r="AK96" i="22" s="1"/>
  <c r="AV85" i="22"/>
  <c r="AW85" i="22" s="1"/>
  <c r="AX85" i="22" s="1"/>
  <c r="AY85" i="22" s="1"/>
  <c r="AZ85" i="22" s="1"/>
  <c r="S68" i="4"/>
  <c r="AH92" i="22"/>
  <c r="AI92" i="22" s="1"/>
  <c r="AJ92" i="22" s="1"/>
  <c r="AK92" i="22" s="1"/>
  <c r="AL92" i="22" s="1"/>
  <c r="AM92" i="22" s="1"/>
  <c r="AN92" i="22" s="1"/>
  <c r="AO92" i="22" s="1"/>
  <c r="AP92" i="22" s="1"/>
  <c r="AQ92" i="22" s="1"/>
  <c r="AR92" i="22" s="1"/>
  <c r="AT92" i="22" s="1"/>
  <c r="AF92" i="22"/>
  <c r="D65" i="4"/>
  <c r="D67" i="4" s="1"/>
  <c r="U102" i="22"/>
  <c r="E65" i="4" s="1"/>
  <c r="E67" i="4" s="1"/>
  <c r="AF11" i="22"/>
  <c r="AJ126" i="22"/>
  <c r="AH11" i="22"/>
  <c r="AI11" i="22" s="1"/>
  <c r="AJ11" i="22" s="1"/>
  <c r="AK11" i="22" s="1"/>
  <c r="AL11" i="22" s="1"/>
  <c r="AM11" i="22" s="1"/>
  <c r="AN11" i="22" s="1"/>
  <c r="AO11" i="22" s="1"/>
  <c r="AP11" i="22" s="1"/>
  <c r="AQ11" i="22" s="1"/>
  <c r="AR11" i="22" s="1"/>
  <c r="AT11" i="22" s="1"/>
  <c r="BS44" i="22"/>
  <c r="BU44" i="22"/>
  <c r="BV44" i="22" s="1"/>
  <c r="BW44" i="22" s="1"/>
  <c r="BX44" i="22" s="1"/>
  <c r="BY44" i="22" s="1"/>
  <c r="BZ44" i="22" s="1"/>
  <c r="CA44" i="22" s="1"/>
  <c r="CB44" i="22" s="1"/>
  <c r="CC44" i="22" s="1"/>
  <c r="CD44" i="22" s="1"/>
  <c r="CE44" i="22" s="1"/>
  <c r="BS84" i="22"/>
  <c r="BS46" i="22"/>
  <c r="BS59" i="22"/>
  <c r="BS60" i="22"/>
  <c r="BS32" i="22"/>
  <c r="BS41" i="22"/>
  <c r="BS89" i="22"/>
  <c r="BF67" i="22"/>
  <c r="BS61" i="22"/>
  <c r="BS35" i="22"/>
  <c r="BS66" i="22"/>
  <c r="BS95" i="22"/>
  <c r="BS45" i="22"/>
  <c r="BS86" i="22"/>
  <c r="BS21" i="22"/>
  <c r="BF69" i="22"/>
  <c r="BS54" i="22"/>
  <c r="BS93" i="22"/>
  <c r="BS82" i="22"/>
  <c r="BS73" i="22"/>
  <c r="BS31" i="22"/>
  <c r="BS64" i="22"/>
  <c r="BS94" i="22"/>
  <c r="BS88" i="22"/>
  <c r="BS78" i="22"/>
  <c r="BS55" i="22"/>
  <c r="BS17" i="22"/>
  <c r="BS80" i="22"/>
  <c r="BS65" i="22"/>
  <c r="BS26" i="22"/>
  <c r="BS100" i="22"/>
  <c r="AU99" i="22"/>
  <c r="AV99" i="22" s="1"/>
  <c r="AW99" i="22" s="1"/>
  <c r="AX99" i="22" s="1"/>
  <c r="AY99" i="22" s="1"/>
  <c r="AZ99" i="22" s="1"/>
  <c r="BA99" i="22" s="1"/>
  <c r="BB99" i="22" s="1"/>
  <c r="BC99" i="22" s="1"/>
  <c r="BD99" i="22" s="1"/>
  <c r="BE99" i="22" s="1"/>
  <c r="BG99" i="22" s="1"/>
  <c r="BH99" i="22" s="1"/>
  <c r="BI99" i="22" s="1"/>
  <c r="BJ99" i="22" s="1"/>
  <c r="BK99" i="22" s="1"/>
  <c r="BL99" i="22" s="1"/>
  <c r="BM99" i="22" s="1"/>
  <c r="BN99" i="22" s="1"/>
  <c r="BO99" i="22" s="1"/>
  <c r="BP99" i="22" s="1"/>
  <c r="BQ99" i="22" s="1"/>
  <c r="BR99" i="22" s="1"/>
  <c r="BT99" i="22" s="1"/>
  <c r="BU99" i="22" s="1"/>
  <c r="BV99" i="22" s="1"/>
  <c r="BW99" i="22" s="1"/>
  <c r="BX99" i="22" s="1"/>
  <c r="BY99" i="22" s="1"/>
  <c r="BZ99" i="22" s="1"/>
  <c r="CA99" i="22" s="1"/>
  <c r="CB99" i="22" s="1"/>
  <c r="CC99" i="22" s="1"/>
  <c r="CD99" i="22" s="1"/>
  <c r="CE99" i="22" s="1"/>
  <c r="AS99" i="22"/>
  <c r="BS98" i="22"/>
  <c r="BF71" i="22"/>
  <c r="BS63" i="22"/>
  <c r="BS43" i="22"/>
  <c r="BS37" i="22"/>
  <c r="BS34" i="22"/>
  <c r="BS33" i="22"/>
  <c r="BS27" i="22"/>
  <c r="BS28" i="22"/>
  <c r="BU83" i="22"/>
  <c r="BV83" i="22" s="1"/>
  <c r="BW83" i="22" s="1"/>
  <c r="BX83" i="22" s="1"/>
  <c r="BY83" i="22" s="1"/>
  <c r="BZ83" i="22" s="1"/>
  <c r="CA83" i="22" s="1"/>
  <c r="CB83" i="22" s="1"/>
  <c r="CC83" i="22" s="1"/>
  <c r="CD83" i="22" s="1"/>
  <c r="CE83" i="22" s="1"/>
  <c r="BS87" i="22"/>
  <c r="BS83" i="22"/>
  <c r="BH71" i="22"/>
  <c r="BI71" i="22" s="1"/>
  <c r="BJ71" i="22" s="1"/>
  <c r="BK71" i="22" s="1"/>
  <c r="BL71" i="22" s="1"/>
  <c r="BM71" i="22" s="1"/>
  <c r="BN71" i="22" s="1"/>
  <c r="BO71" i="22" s="1"/>
  <c r="BP71" i="22" s="1"/>
  <c r="BQ71" i="22" s="1"/>
  <c r="BR71" i="22" s="1"/>
  <c r="BT71" i="22" s="1"/>
  <c r="BH69" i="22"/>
  <c r="BI69" i="22" s="1"/>
  <c r="BJ69" i="22" s="1"/>
  <c r="BK69" i="22" s="1"/>
  <c r="BL69" i="22" s="1"/>
  <c r="BM69" i="22" s="1"/>
  <c r="BN69" i="22" s="1"/>
  <c r="BO69" i="22" s="1"/>
  <c r="BP69" i="22" s="1"/>
  <c r="BQ69" i="22" s="1"/>
  <c r="BR69" i="22" s="1"/>
  <c r="BT69" i="22" s="1"/>
  <c r="BH67" i="22"/>
  <c r="BI67" i="22" s="1"/>
  <c r="BJ67" i="22" s="1"/>
  <c r="BK67" i="22" s="1"/>
  <c r="BL67" i="22" s="1"/>
  <c r="BM67" i="22" s="1"/>
  <c r="BN67" i="22" s="1"/>
  <c r="BO67" i="22" s="1"/>
  <c r="BP67" i="22" s="1"/>
  <c r="BQ67" i="22" s="1"/>
  <c r="BR67" i="22" s="1"/>
  <c r="BT67" i="22" s="1"/>
  <c r="BU60" i="22"/>
  <c r="BV60" i="22" s="1"/>
  <c r="BW60" i="22" s="1"/>
  <c r="BX60" i="22" s="1"/>
  <c r="BY60" i="22" s="1"/>
  <c r="BZ60" i="22" s="1"/>
  <c r="CA60" i="22" s="1"/>
  <c r="CB60" i="22" s="1"/>
  <c r="CC60" i="22" s="1"/>
  <c r="CD60" i="22" s="1"/>
  <c r="CE60" i="22" s="1"/>
  <c r="BU54" i="22"/>
  <c r="BV54" i="22" s="1"/>
  <c r="BW54" i="22" s="1"/>
  <c r="BX54" i="22" s="1"/>
  <c r="BY54" i="22" s="1"/>
  <c r="BZ54" i="22" s="1"/>
  <c r="CA54" i="22" s="1"/>
  <c r="CB54" i="22" s="1"/>
  <c r="CC54" i="22" s="1"/>
  <c r="CD54" i="22" s="1"/>
  <c r="CE54" i="22" s="1"/>
  <c r="BU46" i="22"/>
  <c r="BV46" i="22" s="1"/>
  <c r="BW46" i="22" s="1"/>
  <c r="BX46" i="22" s="1"/>
  <c r="BY46" i="22" s="1"/>
  <c r="BZ46" i="22" s="1"/>
  <c r="CA46" i="22" s="1"/>
  <c r="CB46" i="22" s="1"/>
  <c r="CC46" i="22" s="1"/>
  <c r="CD46" i="22" s="1"/>
  <c r="CE46" i="22" s="1"/>
  <c r="BU43" i="22"/>
  <c r="BV43" i="22" s="1"/>
  <c r="BW43" i="22" s="1"/>
  <c r="BX43" i="22" s="1"/>
  <c r="BY43" i="22" s="1"/>
  <c r="BZ43" i="22" s="1"/>
  <c r="CA43" i="22" s="1"/>
  <c r="CB43" i="22" s="1"/>
  <c r="CC43" i="22" s="1"/>
  <c r="CD43" i="22" s="1"/>
  <c r="CE43" i="22" s="1"/>
  <c r="BU28" i="22"/>
  <c r="BV28" i="22" s="1"/>
  <c r="BW28" i="22" s="1"/>
  <c r="BX28" i="22" s="1"/>
  <c r="BY28" i="22" s="1"/>
  <c r="BZ28" i="22" s="1"/>
  <c r="CA28" i="22" s="1"/>
  <c r="CB28" i="22" s="1"/>
  <c r="CC28" i="22" s="1"/>
  <c r="CD28" i="22" s="1"/>
  <c r="CE28" i="22" s="1"/>
  <c r="Y10" i="22"/>
  <c r="BS29" i="22"/>
  <c r="BU35" i="22"/>
  <c r="BV35" i="22" s="1"/>
  <c r="BW35" i="22" s="1"/>
  <c r="BX35" i="22" s="1"/>
  <c r="BY35" i="22" s="1"/>
  <c r="BZ35" i="22" s="1"/>
  <c r="CA35" i="22" s="1"/>
  <c r="CB35" i="22" s="1"/>
  <c r="CC35" i="22" s="1"/>
  <c r="CD35" i="22" s="1"/>
  <c r="CE35" i="22" s="1"/>
  <c r="BU33" i="22"/>
  <c r="BV33" i="22" s="1"/>
  <c r="BW33" i="22" s="1"/>
  <c r="BX33" i="22" s="1"/>
  <c r="BY33" i="22" s="1"/>
  <c r="BZ33" i="22" s="1"/>
  <c r="CA33" i="22" s="1"/>
  <c r="CB33" i="22" s="1"/>
  <c r="CC33" i="22" s="1"/>
  <c r="CD33" i="22" s="1"/>
  <c r="CE33" i="22" s="1"/>
  <c r="BU27" i="22"/>
  <c r="BV27" i="22" s="1"/>
  <c r="BW27" i="22" s="1"/>
  <c r="BX27" i="22" s="1"/>
  <c r="BY27" i="22" s="1"/>
  <c r="BZ27" i="22" s="1"/>
  <c r="CA27" i="22" s="1"/>
  <c r="CB27" i="22" s="1"/>
  <c r="CC27" i="22" s="1"/>
  <c r="CD27" i="22" s="1"/>
  <c r="CE27" i="22" s="1"/>
  <c r="BS16" i="22"/>
  <c r="BU93" i="22"/>
  <c r="BV93" i="22" s="1"/>
  <c r="BW93" i="22" s="1"/>
  <c r="BX93" i="22" s="1"/>
  <c r="BY93" i="22" s="1"/>
  <c r="BZ93" i="22" s="1"/>
  <c r="CA93" i="22" s="1"/>
  <c r="CB93" i="22" s="1"/>
  <c r="CC93" i="22" s="1"/>
  <c r="CD93" i="22" s="1"/>
  <c r="CE93" i="22" s="1"/>
  <c r="BU82" i="22"/>
  <c r="BV82" i="22" s="1"/>
  <c r="BW82" i="22" s="1"/>
  <c r="BX82" i="22" s="1"/>
  <c r="BY82" i="22" s="1"/>
  <c r="BZ82" i="22" s="1"/>
  <c r="CA82" i="22" s="1"/>
  <c r="CB82" i="22" s="1"/>
  <c r="CC82" i="22" s="1"/>
  <c r="CD82" i="22" s="1"/>
  <c r="CE82" i="22" s="1"/>
  <c r="BF72" i="22"/>
  <c r="BF70" i="22"/>
  <c r="BF68" i="22"/>
  <c r="BU66" i="22"/>
  <c r="BV66" i="22" s="1"/>
  <c r="BW66" i="22" s="1"/>
  <c r="BX66" i="22" s="1"/>
  <c r="BY66" i="22" s="1"/>
  <c r="BZ66" i="22" s="1"/>
  <c r="CA66" i="22" s="1"/>
  <c r="CB66" i="22" s="1"/>
  <c r="CC66" i="22" s="1"/>
  <c r="CD66" i="22" s="1"/>
  <c r="CE66" i="22" s="1"/>
  <c r="BU73" i="22"/>
  <c r="BV73" i="22" s="1"/>
  <c r="BW73" i="22" s="1"/>
  <c r="BX73" i="22" s="1"/>
  <c r="BY73" i="22" s="1"/>
  <c r="BZ73" i="22" s="1"/>
  <c r="CA73" i="22" s="1"/>
  <c r="CB73" i="22" s="1"/>
  <c r="CC73" i="22" s="1"/>
  <c r="CD73" i="22" s="1"/>
  <c r="CE73" i="22" s="1"/>
  <c r="BS47" i="22"/>
  <c r="BU37" i="22"/>
  <c r="BV37" i="22" s="1"/>
  <c r="BW37" i="22" s="1"/>
  <c r="BX37" i="22" s="1"/>
  <c r="BY37" i="22" s="1"/>
  <c r="BZ37" i="22" s="1"/>
  <c r="CA37" i="22" s="1"/>
  <c r="CB37" i="22" s="1"/>
  <c r="CC37" i="22" s="1"/>
  <c r="CD37" i="22" s="1"/>
  <c r="CE37" i="22" s="1"/>
  <c r="BS52" i="22"/>
  <c r="BS48" i="22"/>
  <c r="BS40" i="22"/>
  <c r="BU31" i="22"/>
  <c r="BV31" i="22" s="1"/>
  <c r="BW31" i="22" s="1"/>
  <c r="BX31" i="22" s="1"/>
  <c r="BY31" i="22" s="1"/>
  <c r="BZ31" i="22" s="1"/>
  <c r="CA31" i="22" s="1"/>
  <c r="CB31" i="22" s="1"/>
  <c r="CC31" i="22" s="1"/>
  <c r="CD31" i="22" s="1"/>
  <c r="CE31" i="22" s="1"/>
  <c r="BS13" i="22"/>
  <c r="BU21" i="22"/>
  <c r="BV21" i="22" s="1"/>
  <c r="BW21" i="22" s="1"/>
  <c r="BX21" i="22" s="1"/>
  <c r="BY21" i="22" s="1"/>
  <c r="BZ21" i="22" s="1"/>
  <c r="CA21" i="22" s="1"/>
  <c r="CB21" i="22" s="1"/>
  <c r="CC21" i="22" s="1"/>
  <c r="CD21" i="22" s="1"/>
  <c r="CE21" i="22" s="1"/>
  <c r="BF79" i="22"/>
  <c r="BS76" i="22"/>
  <c r="BS74" i="22"/>
  <c r="BU65" i="22"/>
  <c r="BV65" i="22" s="1"/>
  <c r="BW65" i="22" s="1"/>
  <c r="BX65" i="22" s="1"/>
  <c r="BY65" i="22" s="1"/>
  <c r="BZ65" i="22" s="1"/>
  <c r="CA65" i="22" s="1"/>
  <c r="CB65" i="22" s="1"/>
  <c r="CC65" i="22" s="1"/>
  <c r="CD65" i="22" s="1"/>
  <c r="CE65" i="22" s="1"/>
  <c r="BU64" i="22"/>
  <c r="BV64" i="22" s="1"/>
  <c r="BW64" i="22" s="1"/>
  <c r="BX64" i="22" s="1"/>
  <c r="BY64" i="22" s="1"/>
  <c r="BZ64" i="22" s="1"/>
  <c r="CA64" i="22" s="1"/>
  <c r="CB64" i="22" s="1"/>
  <c r="CC64" i="22" s="1"/>
  <c r="CD64" i="22" s="1"/>
  <c r="CE64" i="22" s="1"/>
  <c r="BU63" i="22"/>
  <c r="BV63" i="22" s="1"/>
  <c r="BW63" i="22" s="1"/>
  <c r="BX63" i="22" s="1"/>
  <c r="BY63" i="22" s="1"/>
  <c r="BZ63" i="22" s="1"/>
  <c r="CA63" i="22" s="1"/>
  <c r="CB63" i="22" s="1"/>
  <c r="CC63" i="22" s="1"/>
  <c r="CD63" i="22" s="1"/>
  <c r="CE63" i="22" s="1"/>
  <c r="BU61" i="22"/>
  <c r="BV61" i="22" s="1"/>
  <c r="BW61" i="22" s="1"/>
  <c r="BX61" i="22" s="1"/>
  <c r="BY61" i="22" s="1"/>
  <c r="BZ61" i="22" s="1"/>
  <c r="CA61" i="22" s="1"/>
  <c r="CB61" i="22" s="1"/>
  <c r="CC61" i="22" s="1"/>
  <c r="CD61" i="22" s="1"/>
  <c r="CE61" i="22" s="1"/>
  <c r="BS39" i="22"/>
  <c r="J102" i="22"/>
  <c r="J7" i="22" s="1"/>
  <c r="K10" i="22"/>
  <c r="BS58" i="22"/>
  <c r="BS57" i="22"/>
  <c r="BS53" i="22"/>
  <c r="BS51" i="22"/>
  <c r="BS49" i="22"/>
  <c r="BU18" i="22"/>
  <c r="BV18" i="22" s="1"/>
  <c r="BW18" i="22" s="1"/>
  <c r="BX18" i="22" s="1"/>
  <c r="BY18" i="22" s="1"/>
  <c r="BZ18" i="22" s="1"/>
  <c r="CA18" i="22" s="1"/>
  <c r="CB18" i="22" s="1"/>
  <c r="CC18" i="22" s="1"/>
  <c r="CD18" i="22" s="1"/>
  <c r="CE18" i="22" s="1"/>
  <c r="BU14" i="22"/>
  <c r="BV14" i="22" s="1"/>
  <c r="BW14" i="22" s="1"/>
  <c r="BX14" i="22" s="1"/>
  <c r="BY14" i="22" s="1"/>
  <c r="BZ14" i="22" s="1"/>
  <c r="CA14" i="22" s="1"/>
  <c r="CB14" i="22" s="1"/>
  <c r="CC14" i="22" s="1"/>
  <c r="CD14" i="22" s="1"/>
  <c r="CE14" i="22" s="1"/>
  <c r="BU12" i="22"/>
  <c r="BV12" i="22" s="1"/>
  <c r="BW12" i="22" s="1"/>
  <c r="BX12" i="22" s="1"/>
  <c r="BY12" i="22" s="1"/>
  <c r="BZ12" i="22" s="1"/>
  <c r="CA12" i="22" s="1"/>
  <c r="CB12" i="22" s="1"/>
  <c r="CC12" i="22" s="1"/>
  <c r="CD12" i="22" s="1"/>
  <c r="CE12" i="22" s="1"/>
  <c r="BU91" i="22"/>
  <c r="BV91" i="22" s="1"/>
  <c r="BW91" i="22" s="1"/>
  <c r="BX91" i="22" s="1"/>
  <c r="BY91" i="22" s="1"/>
  <c r="BZ91" i="22" s="1"/>
  <c r="CA91" i="22" s="1"/>
  <c r="CB91" i="22" s="1"/>
  <c r="CC91" i="22" s="1"/>
  <c r="CD91" i="22" s="1"/>
  <c r="CE91" i="22" s="1"/>
  <c r="BU90" i="22"/>
  <c r="BV90" i="22" s="1"/>
  <c r="BW90" i="22" s="1"/>
  <c r="BX90" i="22" s="1"/>
  <c r="BY90" i="22" s="1"/>
  <c r="BZ90" i="22" s="1"/>
  <c r="CA90" i="22" s="1"/>
  <c r="CB90" i="22" s="1"/>
  <c r="CC90" i="22" s="1"/>
  <c r="CD90" i="22" s="1"/>
  <c r="CE90" i="22" s="1"/>
  <c r="BH77" i="22"/>
  <c r="BI77" i="22" s="1"/>
  <c r="BJ77" i="22" s="1"/>
  <c r="BK77" i="22" s="1"/>
  <c r="BL77" i="22" s="1"/>
  <c r="BM77" i="22" s="1"/>
  <c r="BN77" i="22" s="1"/>
  <c r="BO77" i="22" s="1"/>
  <c r="BP77" i="22" s="1"/>
  <c r="BQ77" i="22" s="1"/>
  <c r="BR77" i="22" s="1"/>
  <c r="BT77" i="22" s="1"/>
  <c r="BU50" i="22"/>
  <c r="BV50" i="22" s="1"/>
  <c r="BW50" i="22" s="1"/>
  <c r="BX50" i="22" s="1"/>
  <c r="BY50" i="22" s="1"/>
  <c r="BZ50" i="22" s="1"/>
  <c r="CA50" i="22" s="1"/>
  <c r="CB50" i="22" s="1"/>
  <c r="CC50" i="22" s="1"/>
  <c r="CD50" i="22" s="1"/>
  <c r="CE50" i="22" s="1"/>
  <c r="BU56" i="22"/>
  <c r="BV56" i="22" s="1"/>
  <c r="BW56" i="22" s="1"/>
  <c r="BX56" i="22" s="1"/>
  <c r="BY56" i="22" s="1"/>
  <c r="BZ56" i="22" s="1"/>
  <c r="CA56" i="22" s="1"/>
  <c r="CB56" i="22" s="1"/>
  <c r="CC56" i="22" s="1"/>
  <c r="CD56" i="22" s="1"/>
  <c r="CE56" i="22" s="1"/>
  <c r="BU36" i="22"/>
  <c r="BV36" i="22" s="1"/>
  <c r="BW36" i="22" s="1"/>
  <c r="BX36" i="22" s="1"/>
  <c r="BY36" i="22" s="1"/>
  <c r="BZ36" i="22" s="1"/>
  <c r="CA36" i="22" s="1"/>
  <c r="CB36" i="22" s="1"/>
  <c r="CC36" i="22" s="1"/>
  <c r="CD36" i="22" s="1"/>
  <c r="CE36" i="22" s="1"/>
  <c r="BU24" i="22"/>
  <c r="BV24" i="22" s="1"/>
  <c r="BW24" i="22" s="1"/>
  <c r="BX24" i="22" s="1"/>
  <c r="BY24" i="22" s="1"/>
  <c r="BZ24" i="22" s="1"/>
  <c r="CA24" i="22" s="1"/>
  <c r="CB24" i="22" s="1"/>
  <c r="CC24" i="22" s="1"/>
  <c r="CD24" i="22" s="1"/>
  <c r="CE24" i="22" s="1"/>
  <c r="BU23" i="22"/>
  <c r="BV23" i="22" s="1"/>
  <c r="BW23" i="22" s="1"/>
  <c r="BX23" i="22" s="1"/>
  <c r="BY23" i="22" s="1"/>
  <c r="BZ23" i="22" s="1"/>
  <c r="CA23" i="22" s="1"/>
  <c r="CB23" i="22" s="1"/>
  <c r="CC23" i="22" s="1"/>
  <c r="CD23" i="22" s="1"/>
  <c r="CE23" i="22" s="1"/>
  <c r="BU22" i="22"/>
  <c r="BV22" i="22" s="1"/>
  <c r="BW22" i="22" s="1"/>
  <c r="BX22" i="22" s="1"/>
  <c r="BY22" i="22" s="1"/>
  <c r="BZ22" i="22" s="1"/>
  <c r="CA22" i="22" s="1"/>
  <c r="CB22" i="22" s="1"/>
  <c r="CC22" i="22" s="1"/>
  <c r="CD22" i="22" s="1"/>
  <c r="CE22" i="22" s="1"/>
  <c r="BS15" i="22"/>
  <c r="BU87" i="22"/>
  <c r="BV87" i="22" s="1"/>
  <c r="BW87" i="22" s="1"/>
  <c r="BX87" i="22" s="1"/>
  <c r="BY87" i="22" s="1"/>
  <c r="BZ87" i="22" s="1"/>
  <c r="CA87" i="22" s="1"/>
  <c r="CB87" i="22" s="1"/>
  <c r="CC87" i="22" s="1"/>
  <c r="CD87" i="22" s="1"/>
  <c r="CE87" i="22" s="1"/>
  <c r="BU29" i="22"/>
  <c r="BV29" i="22" s="1"/>
  <c r="BW29" i="22" s="1"/>
  <c r="BX29" i="22" s="1"/>
  <c r="BY29" i="22" s="1"/>
  <c r="BZ29" i="22" s="1"/>
  <c r="CA29" i="22" s="1"/>
  <c r="CB29" i="22" s="1"/>
  <c r="CC29" i="22" s="1"/>
  <c r="CD29" i="22" s="1"/>
  <c r="CE29" i="22" s="1"/>
  <c r="BU16" i="22"/>
  <c r="BV16" i="22" s="1"/>
  <c r="BW16" i="22" s="1"/>
  <c r="BX16" i="22" s="1"/>
  <c r="BY16" i="22" s="1"/>
  <c r="BZ16" i="22" s="1"/>
  <c r="CA16" i="22" s="1"/>
  <c r="CB16" i="22" s="1"/>
  <c r="CC16" i="22" s="1"/>
  <c r="CD16" i="22" s="1"/>
  <c r="CE16" i="22" s="1"/>
  <c r="BH72" i="22"/>
  <c r="BI72" i="22" s="1"/>
  <c r="BJ72" i="22" s="1"/>
  <c r="BK72" i="22" s="1"/>
  <c r="BL72" i="22" s="1"/>
  <c r="BM72" i="22" s="1"/>
  <c r="BN72" i="22" s="1"/>
  <c r="BO72" i="22" s="1"/>
  <c r="BP72" i="22" s="1"/>
  <c r="BQ72" i="22" s="1"/>
  <c r="BR72" i="22" s="1"/>
  <c r="BT72" i="22" s="1"/>
  <c r="BH70" i="22"/>
  <c r="BI70" i="22" s="1"/>
  <c r="BJ70" i="22" s="1"/>
  <c r="BK70" i="22" s="1"/>
  <c r="BL70" i="22" s="1"/>
  <c r="BM70" i="22" s="1"/>
  <c r="BN70" i="22" s="1"/>
  <c r="BO70" i="22" s="1"/>
  <c r="BP70" i="22" s="1"/>
  <c r="BQ70" i="22" s="1"/>
  <c r="BR70" i="22" s="1"/>
  <c r="BT70" i="22" s="1"/>
  <c r="BH68" i="22"/>
  <c r="BI68" i="22" s="1"/>
  <c r="BJ68" i="22" s="1"/>
  <c r="BK68" i="22" s="1"/>
  <c r="BL68" i="22" s="1"/>
  <c r="BM68" i="22" s="1"/>
  <c r="BN68" i="22" s="1"/>
  <c r="BO68" i="22" s="1"/>
  <c r="BP68" i="22" s="1"/>
  <c r="BQ68" i="22" s="1"/>
  <c r="BR68" i="22" s="1"/>
  <c r="BT68" i="22" s="1"/>
  <c r="BU47" i="22"/>
  <c r="BV47" i="22" s="1"/>
  <c r="BW47" i="22" s="1"/>
  <c r="BX47" i="22" s="1"/>
  <c r="BY47" i="22" s="1"/>
  <c r="BZ47" i="22" s="1"/>
  <c r="CA47" i="22" s="1"/>
  <c r="CB47" i="22" s="1"/>
  <c r="CC47" i="22" s="1"/>
  <c r="CD47" i="22" s="1"/>
  <c r="CE47" i="22" s="1"/>
  <c r="BU52" i="22"/>
  <c r="BV52" i="22" s="1"/>
  <c r="BW52" i="22" s="1"/>
  <c r="BX52" i="22" s="1"/>
  <c r="BY52" i="22" s="1"/>
  <c r="BZ52" i="22" s="1"/>
  <c r="CA52" i="22" s="1"/>
  <c r="CB52" i="22" s="1"/>
  <c r="CC52" i="22" s="1"/>
  <c r="CD52" i="22" s="1"/>
  <c r="CE52" i="22" s="1"/>
  <c r="BU48" i="22"/>
  <c r="BV48" i="22" s="1"/>
  <c r="BW48" i="22" s="1"/>
  <c r="BX48" i="22" s="1"/>
  <c r="BY48" i="22" s="1"/>
  <c r="BZ48" i="22" s="1"/>
  <c r="CA48" i="22" s="1"/>
  <c r="CB48" i="22" s="1"/>
  <c r="CC48" i="22" s="1"/>
  <c r="CD48" i="22" s="1"/>
  <c r="CE48" i="22" s="1"/>
  <c r="BU40" i="22"/>
  <c r="BV40" i="22" s="1"/>
  <c r="BW40" i="22" s="1"/>
  <c r="BX40" i="22" s="1"/>
  <c r="BY40" i="22" s="1"/>
  <c r="BZ40" i="22" s="1"/>
  <c r="CA40" i="22" s="1"/>
  <c r="CB40" i="22" s="1"/>
  <c r="CC40" i="22" s="1"/>
  <c r="CD40" i="22" s="1"/>
  <c r="CE40" i="22" s="1"/>
  <c r="BU13" i="22"/>
  <c r="BV13" i="22" s="1"/>
  <c r="BW13" i="22" s="1"/>
  <c r="BX13" i="22" s="1"/>
  <c r="BY13" i="22" s="1"/>
  <c r="BZ13" i="22" s="1"/>
  <c r="CA13" i="22" s="1"/>
  <c r="CB13" i="22" s="1"/>
  <c r="CC13" i="22" s="1"/>
  <c r="CD13" i="22" s="1"/>
  <c r="CE13" i="22" s="1"/>
  <c r="BH79" i="22"/>
  <c r="BI79" i="22" s="1"/>
  <c r="BJ79" i="22" s="1"/>
  <c r="BK79" i="22" s="1"/>
  <c r="BL79" i="22" s="1"/>
  <c r="BM79" i="22" s="1"/>
  <c r="BN79" i="22" s="1"/>
  <c r="BO79" i="22" s="1"/>
  <c r="BP79" i="22" s="1"/>
  <c r="BQ79" i="22" s="1"/>
  <c r="BR79" i="22" s="1"/>
  <c r="BT79" i="22" s="1"/>
  <c r="BU76" i="22"/>
  <c r="BV76" i="22" s="1"/>
  <c r="BW76" i="22" s="1"/>
  <c r="BX76" i="22" s="1"/>
  <c r="BY76" i="22" s="1"/>
  <c r="BZ76" i="22" s="1"/>
  <c r="CA76" i="22" s="1"/>
  <c r="CB76" i="22" s="1"/>
  <c r="CC76" i="22" s="1"/>
  <c r="CD76" i="22" s="1"/>
  <c r="CE76" i="22" s="1"/>
  <c r="BU74" i="22"/>
  <c r="BV74" i="22" s="1"/>
  <c r="BW74" i="22" s="1"/>
  <c r="BX74" i="22" s="1"/>
  <c r="BY74" i="22" s="1"/>
  <c r="BZ74" i="22" s="1"/>
  <c r="CA74" i="22" s="1"/>
  <c r="CB74" i="22" s="1"/>
  <c r="CC74" i="22" s="1"/>
  <c r="CD74" i="22" s="1"/>
  <c r="CE74" i="22" s="1"/>
  <c r="BU39" i="22"/>
  <c r="BV39" i="22" s="1"/>
  <c r="BW39" i="22" s="1"/>
  <c r="BX39" i="22" s="1"/>
  <c r="BY39" i="22" s="1"/>
  <c r="BZ39" i="22" s="1"/>
  <c r="CA39" i="22" s="1"/>
  <c r="CB39" i="22" s="1"/>
  <c r="CC39" i="22" s="1"/>
  <c r="CD39" i="22" s="1"/>
  <c r="CE39" i="22" s="1"/>
  <c r="BU58" i="22"/>
  <c r="BV58" i="22" s="1"/>
  <c r="BW58" i="22" s="1"/>
  <c r="BX58" i="22" s="1"/>
  <c r="BY58" i="22" s="1"/>
  <c r="BZ58" i="22" s="1"/>
  <c r="CA58" i="22" s="1"/>
  <c r="CB58" i="22" s="1"/>
  <c r="CC58" i="22" s="1"/>
  <c r="CD58" i="22" s="1"/>
  <c r="CE58" i="22" s="1"/>
  <c r="BU57" i="22"/>
  <c r="BV57" i="22" s="1"/>
  <c r="BW57" i="22" s="1"/>
  <c r="BX57" i="22" s="1"/>
  <c r="BY57" i="22" s="1"/>
  <c r="BZ57" i="22" s="1"/>
  <c r="CA57" i="22" s="1"/>
  <c r="CB57" i="22" s="1"/>
  <c r="CC57" i="22" s="1"/>
  <c r="CD57" i="22" s="1"/>
  <c r="CE57" i="22" s="1"/>
  <c r="BU53" i="22"/>
  <c r="BV53" i="22" s="1"/>
  <c r="BW53" i="22" s="1"/>
  <c r="BX53" i="22" s="1"/>
  <c r="BY53" i="22" s="1"/>
  <c r="BZ53" i="22" s="1"/>
  <c r="CA53" i="22" s="1"/>
  <c r="CB53" i="22" s="1"/>
  <c r="CC53" i="22" s="1"/>
  <c r="CD53" i="22" s="1"/>
  <c r="CE53" i="22" s="1"/>
  <c r="BU51" i="22"/>
  <c r="BV51" i="22" s="1"/>
  <c r="BW51" i="22" s="1"/>
  <c r="BX51" i="22" s="1"/>
  <c r="BY51" i="22" s="1"/>
  <c r="BZ51" i="22" s="1"/>
  <c r="CA51" i="22" s="1"/>
  <c r="CB51" i="22" s="1"/>
  <c r="CC51" i="22" s="1"/>
  <c r="CD51" i="22" s="1"/>
  <c r="CE51" i="22" s="1"/>
  <c r="BU49" i="22"/>
  <c r="BV49" i="22" s="1"/>
  <c r="BW49" i="22" s="1"/>
  <c r="BX49" i="22" s="1"/>
  <c r="BY49" i="22" s="1"/>
  <c r="BZ49" i="22" s="1"/>
  <c r="CA49" i="22" s="1"/>
  <c r="CB49" i="22" s="1"/>
  <c r="CC49" i="22" s="1"/>
  <c r="CD49" i="22" s="1"/>
  <c r="CE49" i="22" s="1"/>
  <c r="BU45" i="22"/>
  <c r="BV45" i="22" s="1"/>
  <c r="BW45" i="22" s="1"/>
  <c r="BX45" i="22" s="1"/>
  <c r="BY45" i="22" s="1"/>
  <c r="BZ45" i="22" s="1"/>
  <c r="CA45" i="22" s="1"/>
  <c r="CB45" i="22" s="1"/>
  <c r="CC45" i="22" s="1"/>
  <c r="CD45" i="22" s="1"/>
  <c r="CE45" i="22" s="1"/>
  <c r="BU41" i="22"/>
  <c r="BV41" i="22" s="1"/>
  <c r="BW41" i="22" s="1"/>
  <c r="BX41" i="22" s="1"/>
  <c r="BY41" i="22" s="1"/>
  <c r="BZ41" i="22" s="1"/>
  <c r="CA41" i="22" s="1"/>
  <c r="CB41" i="22" s="1"/>
  <c r="CC41" i="22" s="1"/>
  <c r="CD41" i="22" s="1"/>
  <c r="CE41" i="22" s="1"/>
  <c r="BU34" i="22"/>
  <c r="BV34" i="22" s="1"/>
  <c r="BW34" i="22" s="1"/>
  <c r="BX34" i="22" s="1"/>
  <c r="BY34" i="22" s="1"/>
  <c r="BZ34" i="22" s="1"/>
  <c r="CA34" i="22" s="1"/>
  <c r="CB34" i="22" s="1"/>
  <c r="CC34" i="22" s="1"/>
  <c r="CD34" i="22" s="1"/>
  <c r="CE34" i="22" s="1"/>
  <c r="BU32" i="22"/>
  <c r="BV32" i="22" s="1"/>
  <c r="BW32" i="22" s="1"/>
  <c r="BX32" i="22" s="1"/>
  <c r="BY32" i="22" s="1"/>
  <c r="BZ32" i="22" s="1"/>
  <c r="CA32" i="22" s="1"/>
  <c r="CB32" i="22" s="1"/>
  <c r="CC32" i="22" s="1"/>
  <c r="CD32" i="22" s="1"/>
  <c r="CE32" i="22" s="1"/>
  <c r="BU26" i="22"/>
  <c r="BV26" i="22" s="1"/>
  <c r="BW26" i="22" s="1"/>
  <c r="BX26" i="22" s="1"/>
  <c r="BY26" i="22" s="1"/>
  <c r="BZ26" i="22" s="1"/>
  <c r="CA26" i="22" s="1"/>
  <c r="CB26" i="22" s="1"/>
  <c r="CC26" i="22" s="1"/>
  <c r="CD26" i="22" s="1"/>
  <c r="CE26" i="22" s="1"/>
  <c r="BS18" i="22"/>
  <c r="BS14" i="22"/>
  <c r="BS12" i="22"/>
  <c r="BU17" i="22"/>
  <c r="BV17" i="22" s="1"/>
  <c r="BW17" i="22" s="1"/>
  <c r="BX17" i="22" s="1"/>
  <c r="BY17" i="22" s="1"/>
  <c r="BZ17" i="22" s="1"/>
  <c r="CA17" i="22" s="1"/>
  <c r="CB17" i="22" s="1"/>
  <c r="CC17" i="22" s="1"/>
  <c r="CD17" i="22" s="1"/>
  <c r="CE17" i="22" s="1"/>
  <c r="BU100" i="22"/>
  <c r="BV100" i="22" s="1"/>
  <c r="BW100" i="22" s="1"/>
  <c r="BX100" i="22" s="1"/>
  <c r="BY100" i="22" s="1"/>
  <c r="BZ100" i="22" s="1"/>
  <c r="CA100" i="22" s="1"/>
  <c r="CB100" i="22" s="1"/>
  <c r="CC100" i="22" s="1"/>
  <c r="CD100" i="22" s="1"/>
  <c r="CE100" i="22" s="1"/>
  <c r="BU89" i="22"/>
  <c r="BV89" i="22" s="1"/>
  <c r="BW89" i="22" s="1"/>
  <c r="BX89" i="22" s="1"/>
  <c r="BY89" i="22" s="1"/>
  <c r="BZ89" i="22" s="1"/>
  <c r="CA89" i="22" s="1"/>
  <c r="CB89" i="22" s="1"/>
  <c r="CC89" i="22" s="1"/>
  <c r="CD89" i="22" s="1"/>
  <c r="CE89" i="22" s="1"/>
  <c r="BU86" i="22"/>
  <c r="BV86" i="22" s="1"/>
  <c r="BW86" i="22" s="1"/>
  <c r="BX86" i="22" s="1"/>
  <c r="BY86" i="22" s="1"/>
  <c r="BZ86" i="22" s="1"/>
  <c r="CA86" i="22" s="1"/>
  <c r="CB86" i="22" s="1"/>
  <c r="CC86" i="22" s="1"/>
  <c r="CD86" i="22" s="1"/>
  <c r="CE86" i="22" s="1"/>
  <c r="BU84" i="22"/>
  <c r="BV84" i="22" s="1"/>
  <c r="BW84" i="22" s="1"/>
  <c r="BX84" i="22" s="1"/>
  <c r="BY84" i="22" s="1"/>
  <c r="BZ84" i="22" s="1"/>
  <c r="CA84" i="22" s="1"/>
  <c r="CB84" i="22" s="1"/>
  <c r="CC84" i="22" s="1"/>
  <c r="CD84" i="22" s="1"/>
  <c r="CE84" i="22" s="1"/>
  <c r="BU98" i="22"/>
  <c r="BV98" i="22" s="1"/>
  <c r="BW98" i="22" s="1"/>
  <c r="BX98" i="22" s="1"/>
  <c r="BY98" i="22" s="1"/>
  <c r="BZ98" i="22" s="1"/>
  <c r="CA98" i="22" s="1"/>
  <c r="CB98" i="22" s="1"/>
  <c r="CC98" i="22" s="1"/>
  <c r="CD98" i="22" s="1"/>
  <c r="CE98" i="22" s="1"/>
  <c r="BU95" i="22"/>
  <c r="BV95" i="22" s="1"/>
  <c r="BW95" i="22" s="1"/>
  <c r="BX95" i="22" s="1"/>
  <c r="BY95" i="22" s="1"/>
  <c r="BZ95" i="22" s="1"/>
  <c r="CA95" i="22" s="1"/>
  <c r="CB95" i="22" s="1"/>
  <c r="CC95" i="22" s="1"/>
  <c r="CD95" i="22" s="1"/>
  <c r="CE95" i="22" s="1"/>
  <c r="BU94" i="22"/>
  <c r="BV94" i="22" s="1"/>
  <c r="BW94" i="22" s="1"/>
  <c r="BX94" i="22" s="1"/>
  <c r="BY94" i="22" s="1"/>
  <c r="BZ94" i="22" s="1"/>
  <c r="CA94" i="22" s="1"/>
  <c r="CB94" i="22" s="1"/>
  <c r="CC94" i="22" s="1"/>
  <c r="CD94" i="22" s="1"/>
  <c r="CE94" i="22" s="1"/>
  <c r="BS91" i="22"/>
  <c r="BS90" i="22"/>
  <c r="BU88" i="22"/>
  <c r="BV88" i="22" s="1"/>
  <c r="BW88" i="22" s="1"/>
  <c r="BX88" i="22" s="1"/>
  <c r="BY88" i="22" s="1"/>
  <c r="BZ88" i="22" s="1"/>
  <c r="CA88" i="22" s="1"/>
  <c r="CB88" i="22" s="1"/>
  <c r="CC88" i="22" s="1"/>
  <c r="CD88" i="22" s="1"/>
  <c r="CE88" i="22" s="1"/>
  <c r="BF77" i="22"/>
  <c r="BU80" i="22"/>
  <c r="BV80" i="22" s="1"/>
  <c r="BW80" i="22" s="1"/>
  <c r="BX80" i="22" s="1"/>
  <c r="BY80" i="22" s="1"/>
  <c r="BZ80" i="22" s="1"/>
  <c r="CA80" i="22" s="1"/>
  <c r="CB80" i="22" s="1"/>
  <c r="CC80" i="22" s="1"/>
  <c r="CD80" i="22" s="1"/>
  <c r="CE80" i="22" s="1"/>
  <c r="BU78" i="22"/>
  <c r="BV78" i="22" s="1"/>
  <c r="BW78" i="22" s="1"/>
  <c r="BX78" i="22" s="1"/>
  <c r="BY78" i="22" s="1"/>
  <c r="BZ78" i="22" s="1"/>
  <c r="CA78" i="22" s="1"/>
  <c r="CB78" i="22" s="1"/>
  <c r="CC78" i="22" s="1"/>
  <c r="CD78" i="22" s="1"/>
  <c r="CE78" i="22" s="1"/>
  <c r="BU59" i="22"/>
  <c r="BV59" i="22" s="1"/>
  <c r="BW59" i="22" s="1"/>
  <c r="BX59" i="22" s="1"/>
  <c r="BY59" i="22" s="1"/>
  <c r="BZ59" i="22" s="1"/>
  <c r="CA59" i="22" s="1"/>
  <c r="CB59" i="22" s="1"/>
  <c r="CC59" i="22" s="1"/>
  <c r="CD59" i="22" s="1"/>
  <c r="CE59" i="22" s="1"/>
  <c r="BU55" i="22"/>
  <c r="BV55" i="22" s="1"/>
  <c r="BW55" i="22" s="1"/>
  <c r="BX55" i="22" s="1"/>
  <c r="BY55" i="22" s="1"/>
  <c r="BZ55" i="22" s="1"/>
  <c r="CA55" i="22" s="1"/>
  <c r="CB55" i="22" s="1"/>
  <c r="CC55" i="22" s="1"/>
  <c r="CD55" i="22" s="1"/>
  <c r="CE55" i="22" s="1"/>
  <c r="BS50" i="22"/>
  <c r="BS56" i="22"/>
  <c r="BS36" i="22"/>
  <c r="BS24" i="22"/>
  <c r="BS23" i="22"/>
  <c r="BS22" i="22"/>
  <c r="BU15" i="22"/>
  <c r="BV15" i="22" s="1"/>
  <c r="BW15" i="22" s="1"/>
  <c r="BX15" i="22" s="1"/>
  <c r="BY15" i="22" s="1"/>
  <c r="BZ15" i="22" s="1"/>
  <c r="CA15" i="22" s="1"/>
  <c r="CB15" i="22" s="1"/>
  <c r="CC15" i="22" s="1"/>
  <c r="CD15" i="22" s="1"/>
  <c r="CE15" i="22" s="1"/>
  <c r="AK110" i="22" l="1"/>
  <c r="AK126" i="22" s="1"/>
  <c r="AJ107" i="22"/>
  <c r="V7" i="22"/>
  <c r="W19" i="22"/>
  <c r="AX82" i="4"/>
  <c r="Y83" i="4"/>
  <c r="AL96" i="22"/>
  <c r="AM96" i="22" s="1"/>
  <c r="AN96" i="22" s="1"/>
  <c r="AO96" i="22" s="1"/>
  <c r="AP96" i="22" s="1"/>
  <c r="AQ96" i="22" s="1"/>
  <c r="AR96" i="22" s="1"/>
  <c r="AT96" i="22" s="1"/>
  <c r="AS96" i="22"/>
  <c r="BA85" i="22"/>
  <c r="BB85" i="22" s="1"/>
  <c r="T68" i="4"/>
  <c r="AS92" i="22"/>
  <c r="AU92" i="22"/>
  <c r="AV92" i="22" s="1"/>
  <c r="AW92" i="22" s="1"/>
  <c r="AX92" i="22" s="1"/>
  <c r="AY92" i="22" s="1"/>
  <c r="AZ92" i="22" s="1"/>
  <c r="BA92" i="22" s="1"/>
  <c r="BB92" i="22" s="1"/>
  <c r="BC92" i="22" s="1"/>
  <c r="BD92" i="22" s="1"/>
  <c r="BE92" i="22" s="1"/>
  <c r="BG92" i="22" s="1"/>
  <c r="AS11" i="22"/>
  <c r="AU11" i="22"/>
  <c r="AV11" i="22" s="1"/>
  <c r="AW11" i="22" s="1"/>
  <c r="AX11" i="22" s="1"/>
  <c r="AY11" i="22" s="1"/>
  <c r="AZ11" i="22" s="1"/>
  <c r="BA11" i="22" s="1"/>
  <c r="BB11" i="22" s="1"/>
  <c r="BC11" i="22" s="1"/>
  <c r="BD11" i="22" s="1"/>
  <c r="BE11" i="22" s="1"/>
  <c r="BG11" i="22" s="1"/>
  <c r="CF44" i="22"/>
  <c r="BS99" i="22"/>
  <c r="CF90" i="22"/>
  <c r="BS71" i="22"/>
  <c r="CF52" i="22"/>
  <c r="CF16" i="22"/>
  <c r="CF88" i="22"/>
  <c r="CF94" i="22"/>
  <c r="CF40" i="22"/>
  <c r="CF98" i="22"/>
  <c r="CF48" i="22"/>
  <c r="CF56" i="22"/>
  <c r="CF21" i="22"/>
  <c r="BS79" i="22"/>
  <c r="CF87" i="22"/>
  <c r="CF15" i="22"/>
  <c r="CF95" i="22"/>
  <c r="CF24" i="22"/>
  <c r="BS77" i="22"/>
  <c r="CF91" i="22"/>
  <c r="BS69" i="22"/>
  <c r="BS72" i="22"/>
  <c r="CF22" i="22"/>
  <c r="CF13" i="22"/>
  <c r="CF26" i="22"/>
  <c r="BF99" i="22"/>
  <c r="BS70" i="22"/>
  <c r="BS68" i="22"/>
  <c r="CF50" i="22"/>
  <c r="CF34" i="22"/>
  <c r="CF32" i="22"/>
  <c r="CF23" i="22"/>
  <c r="CF55" i="22"/>
  <c r="CF59" i="22"/>
  <c r="CF78" i="22"/>
  <c r="CF80" i="22"/>
  <c r="CF84" i="22"/>
  <c r="CF86" i="22"/>
  <c r="CF89" i="22"/>
  <c r="CF100" i="22"/>
  <c r="CF17" i="22"/>
  <c r="CF41" i="22"/>
  <c r="CF45" i="22"/>
  <c r="CF49" i="22"/>
  <c r="CF51" i="22"/>
  <c r="CF53" i="22"/>
  <c r="CF57" i="22"/>
  <c r="CF58" i="22"/>
  <c r="CF39" i="22"/>
  <c r="CF74" i="22"/>
  <c r="CF76" i="22"/>
  <c r="BU79" i="22"/>
  <c r="BV79" i="22" s="1"/>
  <c r="BW79" i="22" s="1"/>
  <c r="BX79" i="22" s="1"/>
  <c r="BY79" i="22" s="1"/>
  <c r="BZ79" i="22" s="1"/>
  <c r="CA79" i="22" s="1"/>
  <c r="CB79" i="22" s="1"/>
  <c r="CC79" i="22" s="1"/>
  <c r="CD79" i="22" s="1"/>
  <c r="CE79" i="22" s="1"/>
  <c r="CF47" i="22"/>
  <c r="BU68" i="22"/>
  <c r="BV68" i="22" s="1"/>
  <c r="BW68" i="22" s="1"/>
  <c r="BX68" i="22" s="1"/>
  <c r="BY68" i="22" s="1"/>
  <c r="BZ68" i="22" s="1"/>
  <c r="CA68" i="22" s="1"/>
  <c r="CB68" i="22" s="1"/>
  <c r="CC68" i="22" s="1"/>
  <c r="CD68" i="22" s="1"/>
  <c r="CE68" i="22" s="1"/>
  <c r="BU70" i="22"/>
  <c r="BV70" i="22" s="1"/>
  <c r="BW70" i="22" s="1"/>
  <c r="BX70" i="22" s="1"/>
  <c r="BY70" i="22" s="1"/>
  <c r="BZ70" i="22" s="1"/>
  <c r="CA70" i="22" s="1"/>
  <c r="CB70" i="22" s="1"/>
  <c r="CC70" i="22" s="1"/>
  <c r="CD70" i="22" s="1"/>
  <c r="CE70" i="22" s="1"/>
  <c r="BU72" i="22"/>
  <c r="BV72" i="22" s="1"/>
  <c r="BW72" i="22" s="1"/>
  <c r="BX72" i="22" s="1"/>
  <c r="BY72" i="22" s="1"/>
  <c r="BZ72" i="22" s="1"/>
  <c r="CA72" i="22" s="1"/>
  <c r="CB72" i="22" s="1"/>
  <c r="CC72" i="22" s="1"/>
  <c r="CD72" i="22" s="1"/>
  <c r="CE72" i="22" s="1"/>
  <c r="CF29" i="22"/>
  <c r="CF36" i="22"/>
  <c r="BU77" i="22"/>
  <c r="BV77" i="22" s="1"/>
  <c r="BW77" i="22" s="1"/>
  <c r="BX77" i="22" s="1"/>
  <c r="BY77" i="22" s="1"/>
  <c r="BZ77" i="22" s="1"/>
  <c r="CA77" i="22" s="1"/>
  <c r="CB77" i="22" s="1"/>
  <c r="CC77" i="22" s="1"/>
  <c r="CD77" i="22" s="1"/>
  <c r="CE77" i="22" s="1"/>
  <c r="CF99" i="22"/>
  <c r="CF12" i="22"/>
  <c r="CF14" i="22"/>
  <c r="CF18" i="22"/>
  <c r="CF61" i="22"/>
  <c r="CF63" i="22"/>
  <c r="CF64" i="22"/>
  <c r="CF65" i="22"/>
  <c r="CF31" i="22"/>
  <c r="CF37" i="22"/>
  <c r="CF73" i="22"/>
  <c r="CF66" i="22"/>
  <c r="CF82" i="22"/>
  <c r="CF93" i="22"/>
  <c r="CF27" i="22"/>
  <c r="CF33" i="22"/>
  <c r="CF35" i="22"/>
  <c r="CF28" i="22"/>
  <c r="CF43" i="22"/>
  <c r="CF46" i="22"/>
  <c r="CF54" i="22"/>
  <c r="CF60" i="22"/>
  <c r="BS67" i="22"/>
  <c r="K102" i="22"/>
  <c r="K7" i="22" s="1"/>
  <c r="L10" i="22"/>
  <c r="Z10" i="22"/>
  <c r="BU67" i="22"/>
  <c r="BV67" i="22" s="1"/>
  <c r="BW67" i="22" s="1"/>
  <c r="BX67" i="22" s="1"/>
  <c r="BY67" i="22" s="1"/>
  <c r="BZ67" i="22" s="1"/>
  <c r="CA67" i="22" s="1"/>
  <c r="CB67" i="22" s="1"/>
  <c r="CC67" i="22" s="1"/>
  <c r="CD67" i="22" s="1"/>
  <c r="CE67" i="22" s="1"/>
  <c r="BU69" i="22"/>
  <c r="BV69" i="22" s="1"/>
  <c r="BW69" i="22" s="1"/>
  <c r="BX69" i="22" s="1"/>
  <c r="BY69" i="22" s="1"/>
  <c r="BZ69" i="22" s="1"/>
  <c r="CA69" i="22" s="1"/>
  <c r="CB69" i="22" s="1"/>
  <c r="CC69" i="22" s="1"/>
  <c r="CD69" i="22" s="1"/>
  <c r="CE69" i="22" s="1"/>
  <c r="BU71" i="22"/>
  <c r="BV71" i="22" s="1"/>
  <c r="BW71" i="22" s="1"/>
  <c r="BX71" i="22" s="1"/>
  <c r="BY71" i="22" s="1"/>
  <c r="BZ71" i="22" s="1"/>
  <c r="CA71" i="22" s="1"/>
  <c r="CB71" i="22" s="1"/>
  <c r="CC71" i="22" s="1"/>
  <c r="CD71" i="22" s="1"/>
  <c r="CE71" i="22" s="1"/>
  <c r="CF83" i="22"/>
  <c r="AK107" i="22" l="1"/>
  <c r="X19" i="22"/>
  <c r="W7" i="22"/>
  <c r="W102" i="22"/>
  <c r="G65" i="4" s="1"/>
  <c r="G67" i="4" s="1"/>
  <c r="Z83" i="4"/>
  <c r="AY82" i="4"/>
  <c r="AU96" i="22"/>
  <c r="BC85" i="22"/>
  <c r="BD85" i="22" s="1"/>
  <c r="BE85" i="22" s="1"/>
  <c r="BG85" i="22" s="1"/>
  <c r="BH85" i="22" s="1"/>
  <c r="U68" i="4"/>
  <c r="BF92" i="22"/>
  <c r="BH92" i="22"/>
  <c r="BI92" i="22" s="1"/>
  <c r="BJ92" i="22" s="1"/>
  <c r="BK92" i="22" s="1"/>
  <c r="BL92" i="22" s="1"/>
  <c r="BM92" i="22" s="1"/>
  <c r="BN92" i="22" s="1"/>
  <c r="BO92" i="22" s="1"/>
  <c r="BP92" i="22" s="1"/>
  <c r="BQ92" i="22" s="1"/>
  <c r="BR92" i="22" s="1"/>
  <c r="BT92" i="22" s="1"/>
  <c r="BF11" i="22"/>
  <c r="AL126" i="22"/>
  <c r="V68" i="4" s="1"/>
  <c r="BH11" i="22"/>
  <c r="BI11" i="22" s="1"/>
  <c r="BJ11" i="22" s="1"/>
  <c r="BK11" i="22" s="1"/>
  <c r="BL11" i="22" s="1"/>
  <c r="BM11" i="22" s="1"/>
  <c r="BN11" i="22" s="1"/>
  <c r="BO11" i="22" s="1"/>
  <c r="BP11" i="22" s="1"/>
  <c r="BQ11" i="22" s="1"/>
  <c r="BR11" i="22" s="1"/>
  <c r="BT11" i="22" s="1"/>
  <c r="CF67" i="22"/>
  <c r="CF68" i="22"/>
  <c r="CF69" i="22"/>
  <c r="CF72" i="22"/>
  <c r="CF71" i="22"/>
  <c r="CF70" i="22"/>
  <c r="L102" i="22"/>
  <c r="L7" i="22" s="1"/>
  <c r="M10" i="22"/>
  <c r="CF77" i="22"/>
  <c r="CF79" i="22"/>
  <c r="AA10" i="22"/>
  <c r="BF85" i="22" l="1"/>
  <c r="AM107" i="22"/>
  <c r="Y19" i="22"/>
  <c r="X7" i="22"/>
  <c r="X102" i="22"/>
  <c r="H65" i="4" s="1"/>
  <c r="H67" i="4" s="1"/>
  <c r="AZ82" i="4"/>
  <c r="AA83" i="4"/>
  <c r="AV96" i="22"/>
  <c r="AW96" i="22" s="1"/>
  <c r="AX96" i="22" s="1"/>
  <c r="AY96" i="22" s="1"/>
  <c r="AZ96" i="22" s="1"/>
  <c r="BA96" i="22" s="1"/>
  <c r="BB96" i="22" s="1"/>
  <c r="BC96" i="22" s="1"/>
  <c r="BD96" i="22" s="1"/>
  <c r="BE96" i="22" s="1"/>
  <c r="BG96" i="22" s="1"/>
  <c r="BH96" i="22" s="1"/>
  <c r="BI96" i="22" s="1"/>
  <c r="BI85" i="22"/>
  <c r="BJ85" i="22" s="1"/>
  <c r="BK85" i="22" s="1"/>
  <c r="BL85" i="22" s="1"/>
  <c r="BM85" i="22" s="1"/>
  <c r="BN85" i="22" s="1"/>
  <c r="BO85" i="22" s="1"/>
  <c r="BP85" i="22" s="1"/>
  <c r="BQ85" i="22" s="1"/>
  <c r="BR85" i="22" s="1"/>
  <c r="BT85" i="22" s="1"/>
  <c r="BU85" i="22" s="1"/>
  <c r="BU92" i="22"/>
  <c r="BV92" i="22" s="1"/>
  <c r="BW92" i="22" s="1"/>
  <c r="BX92" i="22" s="1"/>
  <c r="BY92" i="22" s="1"/>
  <c r="BZ92" i="22" s="1"/>
  <c r="CA92" i="22" s="1"/>
  <c r="CB92" i="22" s="1"/>
  <c r="CC92" i="22" s="1"/>
  <c r="CD92" i="22" s="1"/>
  <c r="CE92" i="22" s="1"/>
  <c r="BS92" i="22"/>
  <c r="BS11" i="22"/>
  <c r="AM126" i="22"/>
  <c r="BU11" i="22"/>
  <c r="BV11" i="22" s="1"/>
  <c r="BW11" i="22" s="1"/>
  <c r="BX11" i="22" s="1"/>
  <c r="BY11" i="22" s="1"/>
  <c r="BZ11" i="22" s="1"/>
  <c r="CA11" i="22" s="1"/>
  <c r="CB11" i="22" s="1"/>
  <c r="CC11" i="22" s="1"/>
  <c r="CD11" i="22" s="1"/>
  <c r="CE11" i="22" s="1"/>
  <c r="M102" i="22"/>
  <c r="M7" i="22" s="1"/>
  <c r="N10" i="22"/>
  <c r="AO110" i="22" l="1"/>
  <c r="AN107" i="22"/>
  <c r="Z19" i="22"/>
  <c r="Y7" i="22"/>
  <c r="Y102" i="22"/>
  <c r="I65" i="4" s="1"/>
  <c r="I67" i="4" s="1"/>
  <c r="AB83" i="4"/>
  <c r="AD83" i="4" s="1"/>
  <c r="AC83" i="4"/>
  <c r="BA82" i="4"/>
  <c r="BF96" i="22"/>
  <c r="BS85" i="22"/>
  <c r="BJ96" i="22"/>
  <c r="BV85" i="22"/>
  <c r="BW85" i="22" s="1"/>
  <c r="BX85" i="22" s="1"/>
  <c r="BY85" i="22" s="1"/>
  <c r="BZ85" i="22" s="1"/>
  <c r="CA85" i="22" s="1"/>
  <c r="CB85" i="22" s="1"/>
  <c r="CC85" i="22" s="1"/>
  <c r="CD85" i="22" s="1"/>
  <c r="CE85" i="22" s="1"/>
  <c r="W68" i="4"/>
  <c r="CF92" i="22"/>
  <c r="CF11" i="22"/>
  <c r="AN126" i="22"/>
  <c r="N102" i="22"/>
  <c r="N7" i="22" s="1"/>
  <c r="O10" i="22"/>
  <c r="AP110" i="22" l="1"/>
  <c r="AO107" i="22"/>
  <c r="AA19" i="22"/>
  <c r="Z7" i="22"/>
  <c r="Z102" i="22"/>
  <c r="J65" i="4" s="1"/>
  <c r="J67" i="4" s="1"/>
  <c r="BB82" i="4"/>
  <c r="BC82" i="4" s="1"/>
  <c r="AE83" i="4"/>
  <c r="CF85" i="22"/>
  <c r="BK96" i="22"/>
  <c r="BL96" i="22" s="1"/>
  <c r="BM96" i="22" s="1"/>
  <c r="BN96" i="22" s="1"/>
  <c r="BO96" i="22" s="1"/>
  <c r="BP96" i="22" s="1"/>
  <c r="BQ96" i="22" s="1"/>
  <c r="BR96" i="22" s="1"/>
  <c r="BT96" i="22" s="1"/>
  <c r="BU96" i="22" s="1"/>
  <c r="BV96" i="22" s="1"/>
  <c r="BW96" i="22" s="1"/>
  <c r="X68" i="4"/>
  <c r="AO126" i="22"/>
  <c r="AD10" i="22"/>
  <c r="O102" i="22"/>
  <c r="O7" i="22" s="1"/>
  <c r="P10" i="22"/>
  <c r="BS96" i="22" l="1"/>
  <c r="AQ110" i="22"/>
  <c r="AP107" i="22"/>
  <c r="AB19" i="22"/>
  <c r="AA7" i="22"/>
  <c r="AA102" i="22"/>
  <c r="K65" i="4" s="1"/>
  <c r="K67" i="4" s="1"/>
  <c r="L67" i="4" s="1"/>
  <c r="AF83" i="4"/>
  <c r="BD82" i="4"/>
  <c r="BE82" i="4" s="1"/>
  <c r="BF82" i="4" s="1"/>
  <c r="BG82" i="4" s="1"/>
  <c r="BH82" i="4" s="1"/>
  <c r="BI82" i="4" s="1"/>
  <c r="BX96" i="22"/>
  <c r="BY96" i="22" s="1"/>
  <c r="BZ96" i="22" s="1"/>
  <c r="CA96" i="22" s="1"/>
  <c r="CB96" i="22" s="1"/>
  <c r="CC96" i="22" s="1"/>
  <c r="CD96" i="22" s="1"/>
  <c r="CE96" i="22" s="1"/>
  <c r="CF96" i="22" s="1"/>
  <c r="Y68" i="4"/>
  <c r="AP126" i="22"/>
  <c r="AE10" i="22"/>
  <c r="P102" i="22"/>
  <c r="P7" i="22" s="1"/>
  <c r="Q10" i="22"/>
  <c r="AR110" i="22" l="1"/>
  <c r="AQ107" i="22"/>
  <c r="AC19" i="22"/>
  <c r="AB7" i="22"/>
  <c r="AB102" i="22"/>
  <c r="L65" i="4" s="1"/>
  <c r="BJ82" i="4"/>
  <c r="BK82" i="4" s="1"/>
  <c r="BL82" i="4" s="1"/>
  <c r="BM82" i="4" s="1"/>
  <c r="BN82" i="4" s="1"/>
  <c r="BO82" i="4" s="1"/>
  <c r="AG83" i="4"/>
  <c r="Z68" i="4"/>
  <c r="AQ126" i="22"/>
  <c r="Q102" i="22"/>
  <c r="Q7" i="22" s="1"/>
  <c r="R10" i="22"/>
  <c r="AG10" i="22"/>
  <c r="AF10" i="22"/>
  <c r="AT110" i="22" l="1"/>
  <c r="AR107" i="22"/>
  <c r="AS110" i="22"/>
  <c r="AS107" i="22" s="1"/>
  <c r="AD19" i="22"/>
  <c r="AC7" i="22"/>
  <c r="AC102" i="22"/>
  <c r="M65" i="4" s="1"/>
  <c r="M67" i="4" s="1"/>
  <c r="AH83" i="4"/>
  <c r="AA68" i="4"/>
  <c r="AR126" i="22"/>
  <c r="R102" i="22"/>
  <c r="S102" i="22" s="1"/>
  <c r="S10" i="22"/>
  <c r="AH10" i="22"/>
  <c r="AT107" i="22" l="1"/>
  <c r="AU110" i="22"/>
  <c r="AE19" i="22"/>
  <c r="AD7" i="22"/>
  <c r="AD102" i="22"/>
  <c r="AI83" i="4"/>
  <c r="AS126" i="22"/>
  <c r="AB68" i="4"/>
  <c r="AT126" i="22"/>
  <c r="S7" i="22"/>
  <c r="R7" i="22"/>
  <c r="AI10" i="22"/>
  <c r="AV110" i="22" l="1"/>
  <c r="AU107" i="22"/>
  <c r="N65" i="4"/>
  <c r="N67" i="4" s="1"/>
  <c r="AG19" i="22"/>
  <c r="AE7" i="22"/>
  <c r="AF19" i="22"/>
  <c r="AF7" i="22" s="1"/>
  <c r="AE102" i="22"/>
  <c r="O65" i="4" s="1"/>
  <c r="O67" i="4" s="1"/>
  <c r="AJ83" i="4"/>
  <c r="AD68" i="4"/>
  <c r="AU126" i="22"/>
  <c r="AJ10" i="22"/>
  <c r="AW110" i="22" l="1"/>
  <c r="AV107" i="22"/>
  <c r="AG7" i="22"/>
  <c r="AH19" i="22"/>
  <c r="AG102" i="22"/>
  <c r="Q65" i="4" s="1"/>
  <c r="Q67" i="4" s="1"/>
  <c r="AF102" i="22"/>
  <c r="AK83" i="4"/>
  <c r="AE68" i="4"/>
  <c r="AV126" i="22"/>
  <c r="AK10" i="22"/>
  <c r="AX110" i="22" l="1"/>
  <c r="AW107" i="22"/>
  <c r="AI19" i="22"/>
  <c r="AH7" i="22"/>
  <c r="AH102" i="22"/>
  <c r="R65" i="4" s="1"/>
  <c r="R67" i="4" s="1"/>
  <c r="AL83" i="4"/>
  <c r="AF68" i="4"/>
  <c r="AW126" i="22"/>
  <c r="AL10" i="22"/>
  <c r="AY110" i="22" l="1"/>
  <c r="AX107" i="22"/>
  <c r="AJ19" i="22"/>
  <c r="AI7" i="22"/>
  <c r="AI102" i="22"/>
  <c r="S65" i="4" s="1"/>
  <c r="S67" i="4" s="1"/>
  <c r="AM83" i="4"/>
  <c r="AN83" i="4" s="1"/>
  <c r="AO83" i="4" s="1"/>
  <c r="AG68" i="4"/>
  <c r="AX126" i="22"/>
  <c r="AM10" i="22"/>
  <c r="AZ110" i="22" l="1"/>
  <c r="AY107" i="22"/>
  <c r="AK19" i="22"/>
  <c r="AJ7" i="22"/>
  <c r="AJ102" i="22"/>
  <c r="T65" i="4" s="1"/>
  <c r="AQ83" i="4"/>
  <c r="AP83" i="4"/>
  <c r="AH68" i="4"/>
  <c r="AY126" i="22"/>
  <c r="AN10" i="22"/>
  <c r="BA110" i="22" l="1"/>
  <c r="AZ107" i="22"/>
  <c r="T67" i="4"/>
  <c r="AL19" i="22"/>
  <c r="AK7" i="22"/>
  <c r="AK102" i="22"/>
  <c r="U65" i="4" s="1"/>
  <c r="U67" i="4" s="1"/>
  <c r="AR83" i="4"/>
  <c r="AS83" i="4" s="1"/>
  <c r="AT83" i="4" s="1"/>
  <c r="AU83" i="4" s="1"/>
  <c r="AV83" i="4" s="1"/>
  <c r="AI68" i="4"/>
  <c r="AZ126" i="22"/>
  <c r="AO10" i="22"/>
  <c r="BB110" i="22" l="1"/>
  <c r="BA107" i="22"/>
  <c r="AM19" i="22"/>
  <c r="AL7" i="22"/>
  <c r="AL102" i="22"/>
  <c r="V65" i="4" s="1"/>
  <c r="V67" i="4" s="1"/>
  <c r="AW83" i="4"/>
  <c r="AJ68" i="4"/>
  <c r="BA126" i="22"/>
  <c r="AP10" i="22"/>
  <c r="BC110" i="22" l="1"/>
  <c r="BB107" i="22"/>
  <c r="AN19" i="22"/>
  <c r="AM7" i="22"/>
  <c r="AM102" i="22"/>
  <c r="W65" i="4" s="1"/>
  <c r="W67" i="4" s="1"/>
  <c r="AX83" i="4"/>
  <c r="AY83" i="4" s="1"/>
  <c r="AZ83" i="4" s="1"/>
  <c r="BA83" i="4" s="1"/>
  <c r="BB83" i="4" s="1"/>
  <c r="BD83" i="4" s="1"/>
  <c r="BE83" i="4" s="1"/>
  <c r="BF83" i="4" s="1"/>
  <c r="BG83" i="4" s="1"/>
  <c r="BH83" i="4" s="1"/>
  <c r="BI83" i="4" s="1"/>
  <c r="AK68" i="4"/>
  <c r="BB126" i="22"/>
  <c r="AQ10" i="22"/>
  <c r="BD110" i="22" l="1"/>
  <c r="BC107" i="22"/>
  <c r="AO19" i="22"/>
  <c r="AN7" i="22"/>
  <c r="AN102" i="22"/>
  <c r="X65" i="4" s="1"/>
  <c r="X67" i="4" s="1"/>
  <c r="BC83" i="4"/>
  <c r="BJ83" i="4"/>
  <c r="BK83" i="4" s="1"/>
  <c r="BL83" i="4" s="1"/>
  <c r="BM83" i="4" s="1"/>
  <c r="BN83" i="4" s="1"/>
  <c r="BO83" i="4" s="1"/>
  <c r="AL68" i="4"/>
  <c r="BC126" i="22"/>
  <c r="AR10" i="22"/>
  <c r="BE110" i="22" l="1"/>
  <c r="BD107" i="22"/>
  <c r="AP19" i="22"/>
  <c r="AO7" i="22"/>
  <c r="AO102" i="22"/>
  <c r="Y65" i="4" s="1"/>
  <c r="Y67" i="4" s="1"/>
  <c r="AM68" i="4"/>
  <c r="BD126" i="22"/>
  <c r="AT10" i="22"/>
  <c r="AS10" i="22"/>
  <c r="BG110" i="22" l="1"/>
  <c r="BE107" i="22"/>
  <c r="BF110" i="22"/>
  <c r="BF107" i="22" s="1"/>
  <c r="AQ19" i="22"/>
  <c r="AP7" i="22"/>
  <c r="AP102" i="22"/>
  <c r="Z65" i="4" s="1"/>
  <c r="Z67" i="4" s="1"/>
  <c r="AN68" i="4"/>
  <c r="BE126" i="22"/>
  <c r="AU10" i="22"/>
  <c r="BG107" i="22" l="1"/>
  <c r="BH110" i="22"/>
  <c r="AR19" i="22"/>
  <c r="AQ7" i="22"/>
  <c r="AQ102" i="22"/>
  <c r="BF126" i="22"/>
  <c r="AO68" i="4"/>
  <c r="BG126" i="22"/>
  <c r="AV10" i="22"/>
  <c r="BI110" i="22" l="1"/>
  <c r="BH107" i="22"/>
  <c r="AA65" i="4"/>
  <c r="AA67" i="4" s="1"/>
  <c r="AT19" i="22"/>
  <c r="AR7" i="22"/>
  <c r="AR102" i="22"/>
  <c r="AB65" i="4" s="1"/>
  <c r="AB67" i="4" s="1"/>
  <c r="AS19" i="22"/>
  <c r="AS7" i="22" s="1"/>
  <c r="AQ68" i="4"/>
  <c r="BH126" i="22"/>
  <c r="AW10" i="22"/>
  <c r="BJ110" i="22" l="1"/>
  <c r="BI107" i="22"/>
  <c r="AT7" i="22"/>
  <c r="AU19" i="22"/>
  <c r="AT102" i="22"/>
  <c r="AD65" i="4" s="1"/>
  <c r="AD67" i="4" s="1"/>
  <c r="AS102" i="22"/>
  <c r="AR68" i="4"/>
  <c r="BI126" i="22"/>
  <c r="AX10" i="22"/>
  <c r="BK110" i="22" l="1"/>
  <c r="BJ107" i="22"/>
  <c r="AV19" i="22"/>
  <c r="AU7" i="22"/>
  <c r="AU102" i="22"/>
  <c r="AE65" i="4" s="1"/>
  <c r="AE67" i="4" s="1"/>
  <c r="AS68" i="4"/>
  <c r="BJ126" i="22"/>
  <c r="AY10" i="22"/>
  <c r="BL110" i="22" l="1"/>
  <c r="BK107" i="22"/>
  <c r="AW19" i="22"/>
  <c r="AV7" i="22"/>
  <c r="AV102" i="22"/>
  <c r="AF65" i="4" s="1"/>
  <c r="AF67" i="4" s="1"/>
  <c r="AT68" i="4"/>
  <c r="BK126" i="22"/>
  <c r="AU68" i="4" s="1"/>
  <c r="AZ10" i="22"/>
  <c r="BM110" i="22" l="1"/>
  <c r="BL107" i="22"/>
  <c r="AX19" i="22"/>
  <c r="AW7" i="22"/>
  <c r="AW102" i="22"/>
  <c r="AG65" i="4" s="1"/>
  <c r="BL126" i="22"/>
  <c r="BA10" i="22"/>
  <c r="BN110" i="22" l="1"/>
  <c r="BM107" i="22"/>
  <c r="AG67" i="4"/>
  <c r="AY19" i="22"/>
  <c r="AX7" i="22"/>
  <c r="AX102" i="22"/>
  <c r="AH65" i="4" s="1"/>
  <c r="AH67" i="4" s="1"/>
  <c r="AV68" i="4"/>
  <c r="BM126" i="22"/>
  <c r="BB10" i="22"/>
  <c r="BO110" i="22" l="1"/>
  <c r="BN107" i="22"/>
  <c r="AZ19" i="22"/>
  <c r="AY7" i="22"/>
  <c r="AY102" i="22"/>
  <c r="AI65" i="4" s="1"/>
  <c r="AI67" i="4" s="1"/>
  <c r="AW68" i="4"/>
  <c r="BN126" i="22"/>
  <c r="BC10" i="22"/>
  <c r="BP110" i="22" l="1"/>
  <c r="BO107" i="22"/>
  <c r="BA19" i="22"/>
  <c r="AZ7" i="22"/>
  <c r="AZ102" i="22"/>
  <c r="AJ65" i="4" s="1"/>
  <c r="AJ67" i="4" s="1"/>
  <c r="AX68" i="4"/>
  <c r="BO126" i="22"/>
  <c r="BD10" i="22"/>
  <c r="BQ110" i="22" l="1"/>
  <c r="BP107" i="22"/>
  <c r="BB19" i="22"/>
  <c r="BA7" i="22"/>
  <c r="BA102" i="22"/>
  <c r="AK65" i="4" s="1"/>
  <c r="AK67" i="4" s="1"/>
  <c r="AY68" i="4"/>
  <c r="BP126" i="22"/>
  <c r="BE10" i="22"/>
  <c r="BR110" i="22" l="1"/>
  <c r="BQ107" i="22"/>
  <c r="BC19" i="22"/>
  <c r="BB7" i="22"/>
  <c r="BB102" i="22"/>
  <c r="AL65" i="4" s="1"/>
  <c r="AL67" i="4" s="1"/>
  <c r="AZ68" i="4"/>
  <c r="BQ126" i="22"/>
  <c r="BG10" i="22"/>
  <c r="BF10" i="22"/>
  <c r="BT110" i="22" l="1"/>
  <c r="BR107" i="22"/>
  <c r="BS110" i="22"/>
  <c r="BS107" i="22" s="1"/>
  <c r="BD19" i="22"/>
  <c r="BC7" i="22"/>
  <c r="BC102" i="22"/>
  <c r="AM65" i="4" s="1"/>
  <c r="AM67" i="4" s="1"/>
  <c r="BA68" i="4"/>
  <c r="BR126" i="22"/>
  <c r="BH10" i="22"/>
  <c r="BT107" i="22" l="1"/>
  <c r="BU110" i="22"/>
  <c r="BE19" i="22"/>
  <c r="BD7" i="22"/>
  <c r="BD102" i="22"/>
  <c r="BS126" i="22"/>
  <c r="BB68" i="4"/>
  <c r="BT126" i="22"/>
  <c r="BI10" i="22"/>
  <c r="BV110" i="22" l="1"/>
  <c r="BU107" i="22"/>
  <c r="AN65" i="4"/>
  <c r="AN67" i="4" s="1"/>
  <c r="BG19" i="22"/>
  <c r="BE7" i="22"/>
  <c r="BF19" i="22"/>
  <c r="BF7" i="22" s="1"/>
  <c r="BE102" i="22"/>
  <c r="AO65" i="4" s="1"/>
  <c r="AO67" i="4" s="1"/>
  <c r="BD68" i="4"/>
  <c r="BU126" i="22"/>
  <c r="BJ10" i="22"/>
  <c r="BW110" i="22" l="1"/>
  <c r="BV107" i="22"/>
  <c r="BG7" i="22"/>
  <c r="BH19" i="22"/>
  <c r="BG102" i="22"/>
  <c r="AQ65" i="4" s="1"/>
  <c r="AQ67" i="4" s="1"/>
  <c r="BF102" i="22"/>
  <c r="BE68" i="4"/>
  <c r="BV126" i="22"/>
  <c r="BK10" i="22"/>
  <c r="BX110" i="22" l="1"/>
  <c r="BW107" i="22"/>
  <c r="BI19" i="22"/>
  <c r="BH7" i="22"/>
  <c r="BH102" i="22"/>
  <c r="AR65" i="4" s="1"/>
  <c r="AR67" i="4" s="1"/>
  <c r="BF68" i="4"/>
  <c r="BW126" i="22"/>
  <c r="BG68" i="4" s="1"/>
  <c r="BL10" i="22"/>
  <c r="BY110" i="22" l="1"/>
  <c r="BX107" i="22"/>
  <c r="BJ19" i="22"/>
  <c r="BI7" i="22"/>
  <c r="BI102" i="22"/>
  <c r="AS65" i="4" s="1"/>
  <c r="AS67" i="4" s="1"/>
  <c r="BX126" i="22"/>
  <c r="BM10" i="22"/>
  <c r="BZ110" i="22" l="1"/>
  <c r="BY107" i="22"/>
  <c r="BK19" i="22"/>
  <c r="BJ7" i="22"/>
  <c r="BJ102" i="22"/>
  <c r="AT65" i="4" s="1"/>
  <c r="AT67" i="4" s="1"/>
  <c r="BH68" i="4"/>
  <c r="BY126" i="22"/>
  <c r="BN10" i="22"/>
  <c r="CA110" i="22" l="1"/>
  <c r="BZ107" i="22"/>
  <c r="BL19" i="22"/>
  <c r="BK7" i="22"/>
  <c r="BK102" i="22"/>
  <c r="AU65" i="4" s="1"/>
  <c r="BI68" i="4"/>
  <c r="BZ126" i="22"/>
  <c r="BO10" i="22"/>
  <c r="CB110" i="22" l="1"/>
  <c r="CA107" i="22"/>
  <c r="AU67" i="4"/>
  <c r="BM19" i="22"/>
  <c r="BL7" i="22"/>
  <c r="BL102" i="22"/>
  <c r="AV65" i="4" s="1"/>
  <c r="AV67" i="4" s="1"/>
  <c r="BJ68" i="4"/>
  <c r="CA126" i="22"/>
  <c r="BK68" i="4" s="1"/>
  <c r="BP10" i="22"/>
  <c r="CC110" i="22" l="1"/>
  <c r="CB107" i="22"/>
  <c r="BN19" i="22"/>
  <c r="BM7" i="22"/>
  <c r="BM102" i="22"/>
  <c r="AW65" i="4" s="1"/>
  <c r="AW67" i="4" s="1"/>
  <c r="CB126" i="22"/>
  <c r="BL68" i="4" s="1"/>
  <c r="BQ10" i="22"/>
  <c r="CD110" i="22" l="1"/>
  <c r="CC107" i="22"/>
  <c r="BO19" i="22"/>
  <c r="BN7" i="22"/>
  <c r="BN102" i="22"/>
  <c r="AX65" i="4" s="1"/>
  <c r="AX67" i="4" s="1"/>
  <c r="CC126" i="22"/>
  <c r="BR10" i="22"/>
  <c r="CE110" i="22" l="1"/>
  <c r="CD107" i="22"/>
  <c r="BP19" i="22"/>
  <c r="BO7" i="22"/>
  <c r="BO102" i="22"/>
  <c r="AY65" i="4" s="1"/>
  <c r="AY67" i="4" s="1"/>
  <c r="BM68" i="4"/>
  <c r="CD126" i="22"/>
  <c r="BN68" i="4" s="1"/>
  <c r="BT10" i="22"/>
  <c r="BS10" i="22"/>
  <c r="CE107" i="22" l="1"/>
  <c r="CF110" i="22"/>
  <c r="CF107" i="22" s="1"/>
  <c r="BQ19" i="22"/>
  <c r="BP7" i="22"/>
  <c r="BP102" i="22"/>
  <c r="AZ65" i="4" s="1"/>
  <c r="AZ67" i="4" s="1"/>
  <c r="CE126" i="22"/>
  <c r="BU10" i="22"/>
  <c r="BR19" i="22" l="1"/>
  <c r="BQ7" i="22"/>
  <c r="BQ102" i="22"/>
  <c r="BA65" i="4" s="1"/>
  <c r="BA67" i="4" s="1"/>
  <c r="CF126" i="22"/>
  <c r="BO68" i="4"/>
  <c r="BV10" i="22"/>
  <c r="BT19" i="22" l="1"/>
  <c r="BR7" i="22"/>
  <c r="BS19" i="22"/>
  <c r="BS7" i="22" s="1"/>
  <c r="BR102" i="22"/>
  <c r="BB65" i="4" s="1"/>
  <c r="BB67" i="4" s="1"/>
  <c r="BW10" i="22"/>
  <c r="BS102" i="22" l="1"/>
  <c r="BT7" i="22"/>
  <c r="BU19" i="22"/>
  <c r="BT102" i="22"/>
  <c r="BD65" i="4" s="1"/>
  <c r="BD67" i="4" s="1"/>
  <c r="BX10" i="22"/>
  <c r="BV19" i="22" l="1"/>
  <c r="BU7" i="22"/>
  <c r="BU102" i="22"/>
  <c r="BE65" i="4" s="1"/>
  <c r="BE67" i="4" s="1"/>
  <c r="BY10" i="22"/>
  <c r="BW19" i="22" l="1"/>
  <c r="BV7" i="22"/>
  <c r="BV102" i="22"/>
  <c r="BF65" i="4" s="1"/>
  <c r="BF67" i="4" s="1"/>
  <c r="BZ10" i="22"/>
  <c r="BX19" i="22" l="1"/>
  <c r="BW7" i="22"/>
  <c r="BW102" i="22"/>
  <c r="BG65" i="4" s="1"/>
  <c r="BG67" i="4" s="1"/>
  <c r="CA10" i="22"/>
  <c r="BY19" i="22" l="1"/>
  <c r="BX7" i="22"/>
  <c r="BX102" i="22"/>
  <c r="BH65" i="4" s="1"/>
  <c r="CB10" i="22"/>
  <c r="BH67" i="4" l="1"/>
  <c r="BZ19" i="22"/>
  <c r="BY7" i="22"/>
  <c r="BY102" i="22"/>
  <c r="BI65" i="4" s="1"/>
  <c r="BI67" i="4" s="1"/>
  <c r="CC10" i="22"/>
  <c r="CA19" i="22" l="1"/>
  <c r="BZ7" i="22"/>
  <c r="BZ102" i="22"/>
  <c r="BJ65" i="4" s="1"/>
  <c r="BJ67" i="4" s="1"/>
  <c r="CD10" i="22"/>
  <c r="CB19" i="22" l="1"/>
  <c r="CA7" i="22"/>
  <c r="CA102" i="22"/>
  <c r="BK65" i="4" s="1"/>
  <c r="BK67" i="4" s="1"/>
  <c r="CE10" i="22"/>
  <c r="CC19" i="22" l="1"/>
  <c r="CB7" i="22"/>
  <c r="CB102" i="22"/>
  <c r="BL65" i="4" s="1"/>
  <c r="BL67" i="4" s="1"/>
  <c r="CF10" i="22"/>
  <c r="CD19" i="22" l="1"/>
  <c r="CC7" i="22"/>
  <c r="CC102" i="22"/>
  <c r="BM65" i="4" s="1"/>
  <c r="BM67" i="4" s="1"/>
  <c r="E86" i="4"/>
  <c r="F86" i="4" s="1"/>
  <c r="G86" i="4" s="1"/>
  <c r="H86" i="4" s="1"/>
  <c r="G75" i="4"/>
  <c r="H75" i="4" s="1"/>
  <c r="F74" i="4"/>
  <c r="G74" i="4" s="1"/>
  <c r="H74" i="4" s="1"/>
  <c r="H73" i="4"/>
  <c r="CE19" i="22" l="1"/>
  <c r="CD7" i="22"/>
  <c r="CD102" i="22"/>
  <c r="BN65" i="4" s="1"/>
  <c r="BN67" i="4" s="1"/>
  <c r="K54" i="4"/>
  <c r="I73" i="4"/>
  <c r="J73" i="4" s="1"/>
  <c r="K73" i="4" s="1"/>
  <c r="L73" i="4" s="1"/>
  <c r="M73" i="4" s="1"/>
  <c r="N73" i="4" s="1"/>
  <c r="O73" i="4" s="1"/>
  <c r="Q73" i="4" s="1"/>
  <c r="R73" i="4" s="1"/>
  <c r="S73" i="4" s="1"/>
  <c r="T73" i="4" s="1"/>
  <c r="U73" i="4" s="1"/>
  <c r="I74" i="4"/>
  <c r="J74" i="4" s="1"/>
  <c r="K74" i="4" s="1"/>
  <c r="L74" i="4" s="1"/>
  <c r="Q74" i="4" s="1"/>
  <c r="R74" i="4" s="1"/>
  <c r="S74" i="4" s="1"/>
  <c r="T74" i="4" s="1"/>
  <c r="U74" i="4" s="1"/>
  <c r="I86" i="4"/>
  <c r="J86" i="4" s="1"/>
  <c r="K86" i="4" s="1"/>
  <c r="L86" i="4" s="1"/>
  <c r="M86" i="4" s="1"/>
  <c r="N86" i="4" s="1"/>
  <c r="O86" i="4" s="1"/>
  <c r="Q86" i="4" s="1"/>
  <c r="K56" i="4"/>
  <c r="I75" i="4"/>
  <c r="J75" i="4" s="1"/>
  <c r="K75" i="4" s="1"/>
  <c r="L75" i="4" s="1"/>
  <c r="Q75" i="4" s="1"/>
  <c r="R75" i="4" s="1"/>
  <c r="S75" i="4" s="1"/>
  <c r="T75" i="4" s="1"/>
  <c r="U75" i="4" s="1"/>
  <c r="C69" i="23"/>
  <c r="CE7" i="22" l="1"/>
  <c r="CF19" i="22"/>
  <c r="CF7" i="22" s="1"/>
  <c r="CE102" i="22"/>
  <c r="BO65" i="4" s="1"/>
  <c r="V73" i="4"/>
  <c r="W73" i="4" s="1"/>
  <c r="X73" i="4" s="1"/>
  <c r="Y73" i="4" s="1"/>
  <c r="Z73" i="4" s="1"/>
  <c r="AA73" i="4" s="1"/>
  <c r="AB73" i="4" s="1"/>
  <c r="AD73" i="4" s="1"/>
  <c r="AE73" i="4" s="1"/>
  <c r="AF73" i="4" s="1"/>
  <c r="AG73" i="4" s="1"/>
  <c r="AH73" i="4" s="1"/>
  <c r="V74" i="4"/>
  <c r="W74" i="4" s="1"/>
  <c r="X74" i="4" s="1"/>
  <c r="Y74" i="4" s="1"/>
  <c r="Z74" i="4" s="1"/>
  <c r="AA74" i="4" s="1"/>
  <c r="AB74" i="4" s="1"/>
  <c r="AD74" i="4" s="1"/>
  <c r="AE74" i="4" s="1"/>
  <c r="AF74" i="4" s="1"/>
  <c r="AG74" i="4" s="1"/>
  <c r="AH74" i="4" s="1"/>
  <c r="V75" i="4"/>
  <c r="W75" i="4" s="1"/>
  <c r="X75" i="4" s="1"/>
  <c r="Y75" i="4" s="1"/>
  <c r="Z75" i="4" s="1"/>
  <c r="AA75" i="4" s="1"/>
  <c r="AB75" i="4" s="1"/>
  <c r="AD75" i="4" s="1"/>
  <c r="AE75" i="4" s="1"/>
  <c r="AF75" i="4" s="1"/>
  <c r="AG75" i="4" s="1"/>
  <c r="AH75" i="4" s="1"/>
  <c r="R86" i="4"/>
  <c r="S86" i="4" s="1"/>
  <c r="T86" i="4" s="1"/>
  <c r="U86" i="4" s="1"/>
  <c r="C70" i="23"/>
  <c r="P86" i="4"/>
  <c r="C73" i="23" s="1"/>
  <c r="D70" i="23"/>
  <c r="CF102" i="22" l="1"/>
  <c r="BO67" i="4"/>
  <c r="AI74" i="4"/>
  <c r="AJ74" i="4" s="1"/>
  <c r="AK74" i="4" s="1"/>
  <c r="AL74" i="4" s="1"/>
  <c r="AM74" i="4" s="1"/>
  <c r="AN74" i="4" s="1"/>
  <c r="AO74" i="4" s="1"/>
  <c r="AQ74" i="4" s="1"/>
  <c r="AR74" i="4" s="1"/>
  <c r="AS74" i="4" s="1"/>
  <c r="AT74" i="4" s="1"/>
  <c r="AU74" i="4" s="1"/>
  <c r="AV74" i="4" s="1"/>
  <c r="AI75" i="4"/>
  <c r="AJ75" i="4" s="1"/>
  <c r="AK75" i="4" s="1"/>
  <c r="AL75" i="4" s="1"/>
  <c r="AM75" i="4" s="1"/>
  <c r="AN75" i="4" s="1"/>
  <c r="AO75" i="4" s="1"/>
  <c r="AQ75" i="4" s="1"/>
  <c r="AR75" i="4" s="1"/>
  <c r="AS75" i="4" s="1"/>
  <c r="AT75" i="4" s="1"/>
  <c r="AU75" i="4" s="1"/>
  <c r="AV75" i="4" s="1"/>
  <c r="V86" i="4"/>
  <c r="W86" i="4" s="1"/>
  <c r="X86" i="4" s="1"/>
  <c r="Y86" i="4" s="1"/>
  <c r="Z86" i="4" s="1"/>
  <c r="AA86" i="4" s="1"/>
  <c r="AB86" i="4" s="1"/>
  <c r="AD86" i="4" s="1"/>
  <c r="AE86" i="4" s="1"/>
  <c r="AF86" i="4" s="1"/>
  <c r="AG86" i="4" s="1"/>
  <c r="AH86" i="4" s="1"/>
  <c r="AI73" i="4"/>
  <c r="AJ73" i="4" s="1"/>
  <c r="AK73" i="4" s="1"/>
  <c r="AL73" i="4" s="1"/>
  <c r="AM73" i="4" s="1"/>
  <c r="AN73" i="4" s="1"/>
  <c r="AO73" i="4" s="1"/>
  <c r="AQ73" i="4" s="1"/>
  <c r="AR73" i="4" s="1"/>
  <c r="AS73" i="4" s="1"/>
  <c r="AT73" i="4" s="1"/>
  <c r="AU73" i="4" s="1"/>
  <c r="AV73" i="4" s="1"/>
  <c r="L54" i="4"/>
  <c r="L56" i="4"/>
  <c r="M56" i="4"/>
  <c r="M54" i="4"/>
  <c r="D69" i="23"/>
  <c r="AI86" i="4" l="1"/>
  <c r="AJ86" i="4" s="1"/>
  <c r="AK86" i="4" s="1"/>
  <c r="AL86" i="4" s="1"/>
  <c r="AM86" i="4" s="1"/>
  <c r="AN86" i="4" s="1"/>
  <c r="AO86" i="4" s="1"/>
  <c r="AQ86" i="4" s="1"/>
  <c r="AC86" i="4"/>
  <c r="D73" i="23" s="1"/>
  <c r="AW75" i="4"/>
  <c r="AX75" i="4" s="1"/>
  <c r="AY75" i="4" s="1"/>
  <c r="AZ75" i="4" s="1"/>
  <c r="BA75" i="4" s="1"/>
  <c r="BB75" i="4" s="1"/>
  <c r="BD75" i="4" s="1"/>
  <c r="BE75" i="4" s="1"/>
  <c r="BF75" i="4" s="1"/>
  <c r="BG75" i="4" s="1"/>
  <c r="BH75" i="4" s="1"/>
  <c r="BI75" i="4" s="1"/>
  <c r="AW73" i="4"/>
  <c r="AX73" i="4" s="1"/>
  <c r="AY73" i="4" s="1"/>
  <c r="AZ73" i="4" s="1"/>
  <c r="BA73" i="4" s="1"/>
  <c r="BB73" i="4" s="1"/>
  <c r="BD73" i="4" s="1"/>
  <c r="BE73" i="4" s="1"/>
  <c r="BF73" i="4" s="1"/>
  <c r="BG73" i="4" s="1"/>
  <c r="BH73" i="4" s="1"/>
  <c r="BI73" i="4" s="1"/>
  <c r="AW74" i="4"/>
  <c r="AX74" i="4" s="1"/>
  <c r="AY74" i="4" s="1"/>
  <c r="AZ74" i="4" s="1"/>
  <c r="BA74" i="4" s="1"/>
  <c r="BB74" i="4" s="1"/>
  <c r="BD74" i="4" s="1"/>
  <c r="BE74" i="4" s="1"/>
  <c r="BF74" i="4" s="1"/>
  <c r="BG74" i="4" s="1"/>
  <c r="BH74" i="4" s="1"/>
  <c r="BI74" i="4" s="1"/>
  <c r="N54" i="4"/>
  <c r="AR86" i="4"/>
  <c r="AS86" i="4" s="1"/>
  <c r="AT86" i="4" s="1"/>
  <c r="AU86" i="4" s="1"/>
  <c r="AV86" i="4" s="1"/>
  <c r="AP86" i="4"/>
  <c r="E73" i="23" s="1"/>
  <c r="E70" i="23"/>
  <c r="E69" i="23"/>
  <c r="AW86" i="4" l="1"/>
  <c r="AX86" i="4" s="1"/>
  <c r="AY86" i="4" s="1"/>
  <c r="AZ86" i="4" s="1"/>
  <c r="BA86" i="4" s="1"/>
  <c r="BB86" i="4" s="1"/>
  <c r="BD86" i="4" s="1"/>
  <c r="BE86" i="4" s="1"/>
  <c r="BF86" i="4" s="1"/>
  <c r="BG86" i="4" s="1"/>
  <c r="BH86" i="4" s="1"/>
  <c r="BI86" i="4" s="1"/>
  <c r="BJ75" i="4"/>
  <c r="BK75" i="4" s="1"/>
  <c r="BL75" i="4" s="1"/>
  <c r="BM75" i="4" s="1"/>
  <c r="BN75" i="4" s="1"/>
  <c r="BO75" i="4" s="1"/>
  <c r="BJ74" i="4"/>
  <c r="BK74" i="4" s="1"/>
  <c r="BL74" i="4" s="1"/>
  <c r="BM74" i="4" s="1"/>
  <c r="BN74" i="4" s="1"/>
  <c r="BO74" i="4" s="1"/>
  <c r="BJ73" i="4"/>
  <c r="BK73" i="4" s="1"/>
  <c r="BL73" i="4" s="1"/>
  <c r="BM73" i="4" s="1"/>
  <c r="BN73" i="4" s="1"/>
  <c r="BO73" i="4" s="1"/>
  <c r="N56" i="4"/>
  <c r="O21" i="4"/>
  <c r="O56" i="4" s="1"/>
  <c r="O19" i="4"/>
  <c r="O54" i="4" s="1"/>
  <c r="BC86" i="4"/>
  <c r="F73" i="23" s="1"/>
  <c r="F70" i="23"/>
  <c r="BP83" i="4"/>
  <c r="BJ86" i="4" l="1"/>
  <c r="BK86" i="4" s="1"/>
  <c r="BL86" i="4" s="1"/>
  <c r="BM86" i="4" s="1"/>
  <c r="BN86" i="4" s="1"/>
  <c r="BO86" i="4" s="1"/>
  <c r="P19" i="4"/>
  <c r="C15" i="23" s="1"/>
  <c r="Q56" i="4"/>
  <c r="P21" i="4"/>
  <c r="C17" i="23" s="1"/>
  <c r="BQ83" i="4"/>
  <c r="G70" i="23"/>
  <c r="H70" i="23" s="1"/>
  <c r="L11" i="23" l="1"/>
  <c r="L9" i="23"/>
  <c r="Q54" i="4"/>
  <c r="R21" i="4"/>
  <c r="R56" i="4" s="1"/>
  <c r="R19" i="4"/>
  <c r="R54" i="4" s="1"/>
  <c r="BP86" i="4"/>
  <c r="BQ86" i="4" s="1"/>
  <c r="F69" i="23"/>
  <c r="H42" i="4"/>
  <c r="D42" i="4"/>
  <c r="J6" i="20"/>
  <c r="J21" i="20"/>
  <c r="J16" i="20"/>
  <c r="J11" i="20"/>
  <c r="F21" i="20"/>
  <c r="F22" i="20" s="1"/>
  <c r="F16" i="20"/>
  <c r="F17" i="20" s="1"/>
  <c r="F11" i="20"/>
  <c r="D11" i="20"/>
  <c r="C22" i="20"/>
  <c r="D16" i="20"/>
  <c r="D17" i="20" s="1"/>
  <c r="E21" i="20"/>
  <c r="F7" i="20"/>
  <c r="C7" i="20"/>
  <c r="C17" i="20"/>
  <c r="C21" i="18"/>
  <c r="C20" i="18"/>
  <c r="C19" i="18"/>
  <c r="C18" i="18"/>
  <c r="F8" i="18"/>
  <c r="E8" i="18"/>
  <c r="D8" i="18"/>
  <c r="BQ7" i="18"/>
  <c r="BP7" i="18"/>
  <c r="BO7" i="18"/>
  <c r="BN7" i="18"/>
  <c r="BM7" i="18"/>
  <c r="BL7" i="18"/>
  <c r="BK7" i="18"/>
  <c r="BJ7" i="18"/>
  <c r="BI7" i="18"/>
  <c r="BH7" i="18"/>
  <c r="BG7" i="18"/>
  <c r="BF7" i="18"/>
  <c r="BE7" i="18"/>
  <c r="BD7" i="18"/>
  <c r="BC7" i="18"/>
  <c r="BB7" i="18"/>
  <c r="BA7" i="18"/>
  <c r="AZ7" i="18"/>
  <c r="AY7" i="18"/>
  <c r="AX7" i="18"/>
  <c r="AW7" i="18"/>
  <c r="AV7" i="18"/>
  <c r="AU7" i="18"/>
  <c r="AT7" i="18"/>
  <c r="AS7" i="18"/>
  <c r="AR7" i="18"/>
  <c r="AQ7" i="18"/>
  <c r="AP7" i="18"/>
  <c r="AO7" i="18"/>
  <c r="AN7" i="18"/>
  <c r="AM7" i="18"/>
  <c r="AL7" i="18"/>
  <c r="AK7" i="18"/>
  <c r="AJ7" i="18"/>
  <c r="AI7" i="18"/>
  <c r="AH7" i="18"/>
  <c r="AG7" i="18"/>
  <c r="AF7" i="18"/>
  <c r="AE7" i="18"/>
  <c r="AD7" i="18"/>
  <c r="AC7" i="18"/>
  <c r="AB7" i="18"/>
  <c r="AA7" i="18"/>
  <c r="Z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C21" i="17"/>
  <c r="C20" i="17"/>
  <c r="C19" i="17"/>
  <c r="BQ7" i="17"/>
  <c r="BP7" i="17"/>
  <c r="BO7" i="17"/>
  <c r="BN7" i="17"/>
  <c r="BM7" i="17"/>
  <c r="BL7" i="17"/>
  <c r="BK7" i="17"/>
  <c r="BJ7" i="17"/>
  <c r="BI7" i="17"/>
  <c r="BH7" i="17"/>
  <c r="BG7" i="17"/>
  <c r="BF7" i="17"/>
  <c r="BE7" i="17"/>
  <c r="BD7" i="17"/>
  <c r="BC7" i="17"/>
  <c r="BB7" i="17"/>
  <c r="BA7" i="17"/>
  <c r="AZ7" i="17"/>
  <c r="AY7" i="17"/>
  <c r="AX7" i="17"/>
  <c r="AW7" i="17"/>
  <c r="AV7" i="17"/>
  <c r="AU7" i="17"/>
  <c r="AT7" i="17"/>
  <c r="AS7" i="17"/>
  <c r="AR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F6" i="17"/>
  <c r="F8" i="17" s="1"/>
  <c r="E6" i="17"/>
  <c r="E8" i="17" s="1"/>
  <c r="D6" i="17"/>
  <c r="D8" i="17" s="1"/>
  <c r="C22" i="16"/>
  <c r="C21" i="16"/>
  <c r="C20" i="16"/>
  <c r="C19" i="16"/>
  <c r="F13" i="16"/>
  <c r="F8" i="16"/>
  <c r="E8" i="16"/>
  <c r="BQ7" i="16"/>
  <c r="BP7" i="16"/>
  <c r="BO7" i="16"/>
  <c r="BN7" i="16"/>
  <c r="BM7" i="16"/>
  <c r="BL7" i="16"/>
  <c r="BK7" i="16"/>
  <c r="BJ7" i="16"/>
  <c r="BI7" i="16"/>
  <c r="BH7" i="16"/>
  <c r="BG7" i="16"/>
  <c r="BF7" i="16"/>
  <c r="BE7" i="16"/>
  <c r="BD7" i="16"/>
  <c r="BC7" i="16"/>
  <c r="BB7" i="16"/>
  <c r="BA7" i="16"/>
  <c r="AZ7" i="16"/>
  <c r="AY7" i="16"/>
  <c r="AX7" i="16"/>
  <c r="AW7" i="16"/>
  <c r="AV7" i="16"/>
  <c r="AU7" i="16"/>
  <c r="AT7" i="16"/>
  <c r="AS7" i="16"/>
  <c r="AR7" i="16"/>
  <c r="AQ7" i="16"/>
  <c r="AP7" i="16"/>
  <c r="AO7" i="16"/>
  <c r="AN7" i="16"/>
  <c r="AM7" i="16"/>
  <c r="AL7" i="16"/>
  <c r="AK7" i="16"/>
  <c r="AJ7" i="16"/>
  <c r="AI7" i="16"/>
  <c r="AH7" i="16"/>
  <c r="AG7" i="16"/>
  <c r="AF7" i="16"/>
  <c r="AE7" i="16"/>
  <c r="AD7" i="16"/>
  <c r="AC7" i="16"/>
  <c r="AB7" i="16"/>
  <c r="AA7" i="16"/>
  <c r="Z7" i="16"/>
  <c r="Y7" i="16"/>
  <c r="X7" i="16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D8" i="16" s="1"/>
  <c r="O5" i="16"/>
  <c r="N5" i="16"/>
  <c r="M5" i="16"/>
  <c r="L5" i="16"/>
  <c r="K5" i="16"/>
  <c r="J5" i="16"/>
  <c r="I5" i="16"/>
  <c r="H5" i="16"/>
  <c r="G5" i="16"/>
  <c r="M21" i="15"/>
  <c r="C18" i="15"/>
  <c r="J18" i="15" s="1"/>
  <c r="F15" i="15"/>
  <c r="M15" i="15" s="1"/>
  <c r="F14" i="15"/>
  <c r="M14" i="15" s="1"/>
  <c r="D13" i="15"/>
  <c r="K13" i="15" s="1"/>
  <c r="C12" i="15"/>
  <c r="J12" i="15" s="1"/>
  <c r="G9" i="15"/>
  <c r="F9" i="15"/>
  <c r="F21" i="15" s="1"/>
  <c r="E9" i="15"/>
  <c r="G8" i="15"/>
  <c r="F8" i="15"/>
  <c r="E8" i="15"/>
  <c r="D8" i="15"/>
  <c r="D9" i="15" s="1"/>
  <c r="D14" i="15" s="1"/>
  <c r="K14" i="15" s="1"/>
  <c r="F47" i="14" s="1"/>
  <c r="L47" i="14" s="1"/>
  <c r="R47" i="14" s="1"/>
  <c r="X47" i="14" s="1"/>
  <c r="AD47" i="14" s="1"/>
  <c r="C8" i="15"/>
  <c r="C9" i="15" s="1"/>
  <c r="H5" i="15"/>
  <c r="S67" i="14"/>
  <c r="Y67" i="14" s="1"/>
  <c r="AE67" i="14" s="1"/>
  <c r="M67" i="14"/>
  <c r="I67" i="14"/>
  <c r="O67" i="14" s="1"/>
  <c r="U67" i="14" s="1"/>
  <c r="AA67" i="14" s="1"/>
  <c r="AG67" i="14" s="1"/>
  <c r="H67" i="14"/>
  <c r="N67" i="14" s="1"/>
  <c r="T67" i="14" s="1"/>
  <c r="Z67" i="14" s="1"/>
  <c r="AF67" i="14" s="1"/>
  <c r="G67" i="14"/>
  <c r="F67" i="14"/>
  <c r="L67" i="14" s="1"/>
  <c r="R67" i="14" s="1"/>
  <c r="X67" i="14" s="1"/>
  <c r="AD67" i="14" s="1"/>
  <c r="E67" i="14"/>
  <c r="K67" i="14" s="1"/>
  <c r="Q67" i="14" s="1"/>
  <c r="W67" i="14" s="1"/>
  <c r="AC67" i="14" s="1"/>
  <c r="AA53" i="14"/>
  <c r="AG53" i="14" s="1"/>
  <c r="W53" i="14"/>
  <c r="AC53" i="14" s="1"/>
  <c r="U53" i="14"/>
  <c r="T53" i="14"/>
  <c r="Z53" i="14" s="1"/>
  <c r="AF53" i="14" s="1"/>
  <c r="Q53" i="14"/>
  <c r="O53" i="14"/>
  <c r="N53" i="14"/>
  <c r="M53" i="14"/>
  <c r="S53" i="14" s="1"/>
  <c r="Y53" i="14" s="1"/>
  <c r="AE53" i="14" s="1"/>
  <c r="L53" i="14"/>
  <c r="R53" i="14" s="1"/>
  <c r="X53" i="14" s="1"/>
  <c r="AD53" i="14" s="1"/>
  <c r="K53" i="14"/>
  <c r="Q51" i="14"/>
  <c r="W51" i="14" s="1"/>
  <c r="AC51" i="14" s="1"/>
  <c r="E51" i="14"/>
  <c r="K51" i="14" s="1"/>
  <c r="N48" i="14"/>
  <c r="T48" i="14" s="1"/>
  <c r="Z48" i="14" s="1"/>
  <c r="AF48" i="14" s="1"/>
  <c r="H48" i="14"/>
  <c r="N47" i="14"/>
  <c r="T47" i="14" s="1"/>
  <c r="Z47" i="14" s="1"/>
  <c r="AF47" i="14" s="1"/>
  <c r="H47" i="14"/>
  <c r="AD46" i="14"/>
  <c r="R46" i="14"/>
  <c r="X46" i="14" s="1"/>
  <c r="F46" i="14"/>
  <c r="L46" i="14" s="1"/>
  <c r="E45" i="14"/>
  <c r="K45" i="14" s="1"/>
  <c r="Q45" i="14" s="1"/>
  <c r="W45" i="14" s="1"/>
  <c r="AC45" i="14" s="1"/>
  <c r="AG34" i="14"/>
  <c r="U34" i="14"/>
  <c r="O34" i="14"/>
  <c r="N34" i="14"/>
  <c r="M34" i="14"/>
  <c r="L34" i="14"/>
  <c r="K34" i="14"/>
  <c r="I34" i="14"/>
  <c r="AA34" i="14" s="1"/>
  <c r="H34" i="14"/>
  <c r="G34" i="14"/>
  <c r="S34" i="14" s="1"/>
  <c r="F34" i="14"/>
  <c r="R34" i="14" s="1"/>
  <c r="E34" i="14"/>
  <c r="A34" i="14"/>
  <c r="AD33" i="14"/>
  <c r="AC33" i="14"/>
  <c r="X33" i="14"/>
  <c r="W33" i="14"/>
  <c r="Q33" i="14"/>
  <c r="O33" i="14"/>
  <c r="N33" i="14"/>
  <c r="M33" i="14"/>
  <c r="L33" i="14"/>
  <c r="K33" i="14"/>
  <c r="I33" i="14"/>
  <c r="H33" i="14"/>
  <c r="T33" i="14" s="1"/>
  <c r="G33" i="14"/>
  <c r="F33" i="14"/>
  <c r="R33" i="14" s="1"/>
  <c r="E33" i="14"/>
  <c r="A33" i="14"/>
  <c r="AF32" i="14"/>
  <c r="AE32" i="14"/>
  <c r="AD32" i="14"/>
  <c r="AC32" i="14"/>
  <c r="Z32" i="14"/>
  <c r="Y32" i="14"/>
  <c r="X32" i="14"/>
  <c r="S32" i="14"/>
  <c r="R32" i="14"/>
  <c r="Q32" i="14"/>
  <c r="O32" i="14"/>
  <c r="N32" i="14"/>
  <c r="M32" i="14"/>
  <c r="L32" i="14"/>
  <c r="K32" i="14"/>
  <c r="I32" i="14"/>
  <c r="H32" i="14"/>
  <c r="T32" i="14" s="1"/>
  <c r="G32" i="14"/>
  <c r="F32" i="14"/>
  <c r="E32" i="14"/>
  <c r="W32" i="14" s="1"/>
  <c r="A32" i="14"/>
  <c r="AG31" i="14"/>
  <c r="AF31" i="14"/>
  <c r="AE31" i="14"/>
  <c r="AD31" i="14"/>
  <c r="AC31" i="14"/>
  <c r="AA31" i="14"/>
  <c r="Z31" i="14"/>
  <c r="U31" i="14"/>
  <c r="T31" i="14"/>
  <c r="S31" i="14"/>
  <c r="R31" i="14"/>
  <c r="Q31" i="14"/>
  <c r="O31" i="14"/>
  <c r="N31" i="14"/>
  <c r="M31" i="14"/>
  <c r="L31" i="14"/>
  <c r="K31" i="14"/>
  <c r="I31" i="14"/>
  <c r="H31" i="14"/>
  <c r="G31" i="14"/>
  <c r="Y31" i="14" s="1"/>
  <c r="F31" i="14"/>
  <c r="X31" i="14" s="1"/>
  <c r="E31" i="14"/>
  <c r="W31" i="14" s="1"/>
  <c r="A31" i="14"/>
  <c r="AG30" i="14"/>
  <c r="AF30" i="14"/>
  <c r="AE30" i="14"/>
  <c r="AC30" i="14"/>
  <c r="U30" i="14"/>
  <c r="T30" i="14"/>
  <c r="S30" i="14"/>
  <c r="R30" i="14"/>
  <c r="Q30" i="14"/>
  <c r="O30" i="14"/>
  <c r="N30" i="14"/>
  <c r="M30" i="14"/>
  <c r="L30" i="14"/>
  <c r="K30" i="14"/>
  <c r="I30" i="14"/>
  <c r="AA30" i="14" s="1"/>
  <c r="H30" i="14"/>
  <c r="Z30" i="14" s="1"/>
  <c r="G30" i="14"/>
  <c r="Y30" i="14" s="1"/>
  <c r="F30" i="14"/>
  <c r="X30" i="14" s="1"/>
  <c r="E30" i="14"/>
  <c r="W30" i="14" s="1"/>
  <c r="A30" i="14"/>
  <c r="AG29" i="14"/>
  <c r="AE29" i="14"/>
  <c r="U29" i="14"/>
  <c r="T29" i="14"/>
  <c r="S29" i="14"/>
  <c r="I29" i="14"/>
  <c r="O29" i="14" s="1"/>
  <c r="H29" i="14"/>
  <c r="N29" i="14" s="1"/>
  <c r="G29" i="14"/>
  <c r="M29" i="14" s="1"/>
  <c r="F29" i="14"/>
  <c r="E29" i="14"/>
  <c r="AF28" i="14"/>
  <c r="U28" i="14"/>
  <c r="T28" i="14"/>
  <c r="R28" i="14"/>
  <c r="I28" i="14"/>
  <c r="O28" i="14" s="1"/>
  <c r="H28" i="14"/>
  <c r="N28" i="14" s="1"/>
  <c r="G28" i="14"/>
  <c r="F28" i="14"/>
  <c r="E28" i="14"/>
  <c r="Q28" i="14" s="1"/>
  <c r="AG27" i="14"/>
  <c r="W27" i="14"/>
  <c r="U27" i="14"/>
  <c r="S27" i="14"/>
  <c r="I27" i="14"/>
  <c r="O27" i="14" s="1"/>
  <c r="H27" i="14"/>
  <c r="G27" i="14"/>
  <c r="F27" i="14"/>
  <c r="R27" i="14" s="1"/>
  <c r="E27" i="14"/>
  <c r="AC26" i="14"/>
  <c r="W26" i="14"/>
  <c r="K26" i="14"/>
  <c r="I26" i="14"/>
  <c r="H26" i="14"/>
  <c r="G26" i="14"/>
  <c r="S26" i="14" s="1"/>
  <c r="F26" i="14"/>
  <c r="E26" i="14"/>
  <c r="Q26" i="14" s="1"/>
  <c r="C18" i="14"/>
  <c r="C17" i="14"/>
  <c r="G11" i="14"/>
  <c r="F11" i="14"/>
  <c r="E11" i="14"/>
  <c r="E10" i="14"/>
  <c r="C10" i="14"/>
  <c r="G10" i="14" s="1"/>
  <c r="P5" i="14"/>
  <c r="O5" i="14"/>
  <c r="N5" i="14"/>
  <c r="M5" i="14"/>
  <c r="L5" i="14"/>
  <c r="K5" i="14"/>
  <c r="J5" i="14"/>
  <c r="I5" i="14"/>
  <c r="H5" i="14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C18" i="13"/>
  <c r="C17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C10" i="13"/>
  <c r="Q6" i="13"/>
  <c r="C43" i="12"/>
  <c r="C41" i="12"/>
  <c r="D34" i="12"/>
  <c r="D33" i="12"/>
  <c r="D32" i="12"/>
  <c r="D31" i="12"/>
  <c r="D30" i="12"/>
  <c r="D29" i="12"/>
  <c r="D28" i="12"/>
  <c r="D25" i="12"/>
  <c r="D24" i="12"/>
  <c r="D23" i="12"/>
  <c r="L22" i="12"/>
  <c r="D22" i="12"/>
  <c r="P21" i="12"/>
  <c r="H8" i="12" s="1"/>
  <c r="H21" i="12"/>
  <c r="H23" i="12" s="1"/>
  <c r="H6" i="12" s="1"/>
  <c r="D21" i="12"/>
  <c r="D20" i="12"/>
  <c r="L19" i="12"/>
  <c r="L21" i="12" s="1"/>
  <c r="L23" i="12" s="1"/>
  <c r="H7" i="12" s="1"/>
  <c r="H19" i="12"/>
  <c r="D19" i="12"/>
  <c r="B12" i="12"/>
  <c r="B7" i="12"/>
  <c r="AD16" i="11"/>
  <c r="AD10" i="11"/>
  <c r="BP9" i="11"/>
  <c r="BO9" i="11"/>
  <c r="BN9" i="11"/>
  <c r="BM9" i="11"/>
  <c r="BL9" i="11"/>
  <c r="BK9" i="11"/>
  <c r="BJ9" i="11"/>
  <c r="BI9" i="11"/>
  <c r="BH9" i="11"/>
  <c r="BG9" i="11"/>
  <c r="BF9" i="11"/>
  <c r="BE9" i="11"/>
  <c r="BC9" i="11"/>
  <c r="BB9" i="11"/>
  <c r="BA9" i="11"/>
  <c r="AZ9" i="11"/>
  <c r="AY9" i="11"/>
  <c r="AX9" i="11"/>
  <c r="AW9" i="11"/>
  <c r="AV9" i="11"/>
  <c r="AU9" i="11"/>
  <c r="AT9" i="11"/>
  <c r="AS9" i="11"/>
  <c r="AR9" i="11"/>
  <c r="AP9" i="11"/>
  <c r="AO9" i="11"/>
  <c r="AN9" i="11"/>
  <c r="AM9" i="11"/>
  <c r="AL9" i="11"/>
  <c r="AK9" i="11"/>
  <c r="AJ9" i="11"/>
  <c r="AI9" i="11"/>
  <c r="AH9" i="11"/>
  <c r="AG9" i="11"/>
  <c r="AF9" i="11"/>
  <c r="AE9" i="11"/>
  <c r="AC9" i="11"/>
  <c r="AB9" i="11"/>
  <c r="AA9" i="11"/>
  <c r="Z9" i="11"/>
  <c r="Y9" i="11"/>
  <c r="X9" i="11"/>
  <c r="W9" i="11"/>
  <c r="V9" i="11"/>
  <c r="U9" i="11"/>
  <c r="T9" i="11"/>
  <c r="S9" i="11"/>
  <c r="R9" i="11"/>
  <c r="P9" i="11"/>
  <c r="O9" i="11"/>
  <c r="N9" i="11"/>
  <c r="M9" i="11"/>
  <c r="L9" i="11"/>
  <c r="K9" i="11"/>
  <c r="J9" i="11"/>
  <c r="I9" i="11"/>
  <c r="H9" i="11"/>
  <c r="G9" i="11"/>
  <c r="F9" i="11"/>
  <c r="E9" i="11"/>
  <c r="E7" i="11"/>
  <c r="E8" i="11" s="1"/>
  <c r="R6" i="11"/>
  <c r="R7" i="11" s="1"/>
  <c r="E2" i="11"/>
  <c r="F2" i="11" s="1"/>
  <c r="G2" i="11" s="1"/>
  <c r="H2" i="11" s="1"/>
  <c r="I2" i="11" s="1"/>
  <c r="J2" i="11" s="1"/>
  <c r="K2" i="11" s="1"/>
  <c r="L2" i="11" s="1"/>
  <c r="M2" i="11" s="1"/>
  <c r="N2" i="11" s="1"/>
  <c r="O2" i="11" s="1"/>
  <c r="P2" i="11" s="1"/>
  <c r="R2" i="11" s="1"/>
  <c r="S2" i="11" s="1"/>
  <c r="T2" i="11" s="1"/>
  <c r="U2" i="11" s="1"/>
  <c r="V2" i="11" s="1"/>
  <c r="W2" i="11" s="1"/>
  <c r="X2" i="11" s="1"/>
  <c r="Y2" i="11" s="1"/>
  <c r="Z2" i="11" s="1"/>
  <c r="AA2" i="11" s="1"/>
  <c r="AB2" i="11" s="1"/>
  <c r="AC2" i="11" s="1"/>
  <c r="AE2" i="11" s="1"/>
  <c r="AF2" i="11" s="1"/>
  <c r="AG2" i="11" s="1"/>
  <c r="AH2" i="11" s="1"/>
  <c r="AI2" i="11" s="1"/>
  <c r="AJ2" i="11" s="1"/>
  <c r="AK2" i="11" s="1"/>
  <c r="AL2" i="11" s="1"/>
  <c r="AM2" i="11" s="1"/>
  <c r="AN2" i="11" s="1"/>
  <c r="AO2" i="11" s="1"/>
  <c r="AP2" i="11" s="1"/>
  <c r="AR2" i="11" s="1"/>
  <c r="AS2" i="11" s="1"/>
  <c r="AT2" i="11" s="1"/>
  <c r="AU2" i="11" s="1"/>
  <c r="AV2" i="11" s="1"/>
  <c r="AW2" i="11" s="1"/>
  <c r="AX2" i="11" s="1"/>
  <c r="AY2" i="11" s="1"/>
  <c r="AZ2" i="11" s="1"/>
  <c r="BA2" i="11" s="1"/>
  <c r="BB2" i="11" s="1"/>
  <c r="BC2" i="11" s="1"/>
  <c r="BE2" i="11" s="1"/>
  <c r="BF2" i="11" s="1"/>
  <c r="BG2" i="11" s="1"/>
  <c r="BH2" i="11" s="1"/>
  <c r="BI2" i="11" s="1"/>
  <c r="BJ2" i="11" s="1"/>
  <c r="BK2" i="11" s="1"/>
  <c r="BL2" i="11" s="1"/>
  <c r="BM2" i="11" s="1"/>
  <c r="BN2" i="11" s="1"/>
  <c r="BO2" i="11" s="1"/>
  <c r="BP2" i="11" s="1"/>
  <c r="D7" i="7"/>
  <c r="O52" i="6"/>
  <c r="N52" i="6"/>
  <c r="I52" i="6"/>
  <c r="J52" i="6" s="1"/>
  <c r="D52" i="6"/>
  <c r="E52" i="6" s="1"/>
  <c r="O51" i="6"/>
  <c r="N51" i="6"/>
  <c r="J51" i="6"/>
  <c r="I51" i="6"/>
  <c r="D51" i="6"/>
  <c r="E51" i="6" s="1"/>
  <c r="J48" i="6"/>
  <c r="E48" i="6"/>
  <c r="V11" i="6" s="1"/>
  <c r="V13" i="6" s="1"/>
  <c r="J44" i="6"/>
  <c r="E44" i="6"/>
  <c r="J41" i="6"/>
  <c r="J42" i="6" s="1"/>
  <c r="I42" i="6" s="1"/>
  <c r="I41" i="6"/>
  <c r="H41" i="6"/>
  <c r="E41" i="6"/>
  <c r="D41" i="6" s="1"/>
  <c r="C41" i="6"/>
  <c r="I40" i="6"/>
  <c r="H40" i="6"/>
  <c r="D40" i="6"/>
  <c r="C40" i="6"/>
  <c r="J37" i="6"/>
  <c r="E37" i="6"/>
  <c r="J36" i="6"/>
  <c r="E36" i="6"/>
  <c r="J35" i="6"/>
  <c r="E35" i="6"/>
  <c r="O27" i="6"/>
  <c r="J27" i="6"/>
  <c r="E27" i="6"/>
  <c r="E25" i="6"/>
  <c r="O23" i="6"/>
  <c r="N23" i="6" s="1"/>
  <c r="O22" i="6"/>
  <c r="N22" i="6"/>
  <c r="M22" i="6"/>
  <c r="J22" i="6"/>
  <c r="E22" i="6"/>
  <c r="D22" i="6" s="1"/>
  <c r="C22" i="6" s="1"/>
  <c r="N21" i="6"/>
  <c r="M21" i="6"/>
  <c r="I21" i="6"/>
  <c r="H21" i="6"/>
  <c r="D21" i="6"/>
  <c r="C21" i="6"/>
  <c r="O18" i="6"/>
  <c r="O25" i="6" s="1"/>
  <c r="J18" i="6"/>
  <c r="J25" i="6" s="1"/>
  <c r="E18" i="6"/>
  <c r="O17" i="6"/>
  <c r="J17" i="6"/>
  <c r="E17" i="6"/>
  <c r="V5" i="6" s="1"/>
  <c r="O16" i="6"/>
  <c r="J16" i="6"/>
  <c r="E16" i="6"/>
  <c r="V8" i="6"/>
  <c r="V6" i="6"/>
  <c r="V9" i="6" s="1"/>
  <c r="V4" i="6"/>
  <c r="D93" i="4"/>
  <c r="BE92" i="4"/>
  <c r="BF92" i="4" s="1"/>
  <c r="BG92" i="4" s="1"/>
  <c r="BH92" i="4" s="1"/>
  <c r="BI92" i="4" s="1"/>
  <c r="AR92" i="4"/>
  <c r="AS92" i="4" s="1"/>
  <c r="AT92" i="4" s="1"/>
  <c r="AU92" i="4" s="1"/>
  <c r="AV92" i="4" s="1"/>
  <c r="AE92" i="4"/>
  <c r="AF92" i="4" s="1"/>
  <c r="AG92" i="4" s="1"/>
  <c r="AH92" i="4" s="1"/>
  <c r="E92" i="4"/>
  <c r="AR91" i="4"/>
  <c r="AS91" i="4" s="1"/>
  <c r="AT91" i="4" s="1"/>
  <c r="AU91" i="4" s="1"/>
  <c r="AV91" i="4" s="1"/>
  <c r="AE91" i="4"/>
  <c r="AF91" i="4" s="1"/>
  <c r="AG91" i="4" s="1"/>
  <c r="AH91" i="4" s="1"/>
  <c r="J91" i="4"/>
  <c r="K91" i="4" s="1"/>
  <c r="L91" i="4" s="1"/>
  <c r="M91" i="4" s="1"/>
  <c r="N91" i="4" s="1"/>
  <c r="O91" i="4" s="1"/>
  <c r="R91" i="4" s="1"/>
  <c r="S91" i="4" s="1"/>
  <c r="T91" i="4" s="1"/>
  <c r="U91" i="4" s="1"/>
  <c r="F91" i="4"/>
  <c r="G91" i="4" s="1"/>
  <c r="H91" i="4" s="1"/>
  <c r="I90" i="4"/>
  <c r="W84" i="4"/>
  <c r="X84" i="4" s="1"/>
  <c r="Y84" i="4" s="1"/>
  <c r="Z84" i="4" s="1"/>
  <c r="AA84" i="4" s="1"/>
  <c r="AB84" i="4" s="1"/>
  <c r="AE84" i="4" s="1"/>
  <c r="AF84" i="4" s="1"/>
  <c r="AG84" i="4" s="1"/>
  <c r="AH84" i="4" s="1"/>
  <c r="G81" i="4"/>
  <c r="H81" i="4" s="1"/>
  <c r="I80" i="4"/>
  <c r="H79" i="4"/>
  <c r="D76" i="4"/>
  <c r="E75" i="4"/>
  <c r="E73" i="4"/>
  <c r="E72" i="4"/>
  <c r="F72" i="4" s="1"/>
  <c r="G72" i="4" s="1"/>
  <c r="H72" i="4" s="1"/>
  <c r="BN66" i="4"/>
  <c r="BM66" i="4"/>
  <c r="BL66" i="4"/>
  <c r="BG66" i="4"/>
  <c r="G22" i="4"/>
  <c r="D169" i="4" s="1"/>
  <c r="F22" i="4"/>
  <c r="D168" i="4" s="1"/>
  <c r="E22" i="4"/>
  <c r="D167" i="4" s="1"/>
  <c r="D22" i="4"/>
  <c r="D166" i="4" s="1"/>
  <c r="E3" i="4"/>
  <c r="C72" i="3"/>
  <c r="Q71" i="3"/>
  <c r="P71" i="3"/>
  <c r="O71" i="3"/>
  <c r="N71" i="3"/>
  <c r="R71" i="3" s="1"/>
  <c r="L71" i="3"/>
  <c r="K71" i="3"/>
  <c r="H71" i="3"/>
  <c r="I71" i="3" s="1"/>
  <c r="G71" i="3"/>
  <c r="E71" i="3"/>
  <c r="D71" i="3"/>
  <c r="P70" i="3"/>
  <c r="O70" i="3"/>
  <c r="I70" i="3"/>
  <c r="E70" i="3"/>
  <c r="F70" i="3" s="1"/>
  <c r="G70" i="3" s="1"/>
  <c r="G72" i="3" s="1"/>
  <c r="D70" i="3"/>
  <c r="D72" i="3" s="1"/>
  <c r="I69" i="3"/>
  <c r="I72" i="3" s="1"/>
  <c r="H69" i="3"/>
  <c r="H72" i="3" s="1"/>
  <c r="E69" i="3"/>
  <c r="I65" i="3"/>
  <c r="J65" i="3" s="1"/>
  <c r="H65" i="3"/>
  <c r="F65" i="3"/>
  <c r="E65" i="3"/>
  <c r="O65" i="3" s="1"/>
  <c r="D65" i="3"/>
  <c r="Q64" i="3"/>
  <c r="P64" i="3"/>
  <c r="J64" i="3"/>
  <c r="K64" i="3" s="1"/>
  <c r="L64" i="3" s="1"/>
  <c r="I64" i="3"/>
  <c r="G64" i="3"/>
  <c r="E64" i="3"/>
  <c r="D64" i="3"/>
  <c r="O64" i="3" s="1"/>
  <c r="I63" i="3"/>
  <c r="E63" i="3"/>
  <c r="D63" i="3"/>
  <c r="J62" i="3"/>
  <c r="K62" i="3" s="1"/>
  <c r="L62" i="3" s="1"/>
  <c r="I62" i="3"/>
  <c r="H62" i="3"/>
  <c r="D62" i="3"/>
  <c r="O61" i="3"/>
  <c r="F61" i="3"/>
  <c r="E61" i="3"/>
  <c r="D61" i="3"/>
  <c r="E60" i="3"/>
  <c r="O59" i="3"/>
  <c r="J59" i="3"/>
  <c r="K59" i="3" s="1"/>
  <c r="L59" i="3" s="1"/>
  <c r="H59" i="3"/>
  <c r="I59" i="3" s="1"/>
  <c r="G59" i="3"/>
  <c r="H58" i="3"/>
  <c r="P58" i="3" s="1"/>
  <c r="G58" i="3"/>
  <c r="C58" i="3"/>
  <c r="C55" i="3"/>
  <c r="F54" i="3"/>
  <c r="D54" i="3"/>
  <c r="H53" i="3"/>
  <c r="I53" i="3" s="1"/>
  <c r="D53" i="3"/>
  <c r="I52" i="3"/>
  <c r="J52" i="3" s="1"/>
  <c r="D52" i="3"/>
  <c r="E51" i="3"/>
  <c r="D51" i="3"/>
  <c r="I50" i="3"/>
  <c r="H50" i="3"/>
  <c r="P50" i="3" s="1"/>
  <c r="E50" i="3"/>
  <c r="D50" i="3"/>
  <c r="H49" i="3"/>
  <c r="P49" i="3" s="1"/>
  <c r="D49" i="3"/>
  <c r="P48" i="3"/>
  <c r="K48" i="3"/>
  <c r="L48" i="3" s="1"/>
  <c r="J48" i="3"/>
  <c r="I48" i="3"/>
  <c r="Q48" i="3" s="1"/>
  <c r="D48" i="3"/>
  <c r="E48" i="3" s="1"/>
  <c r="O48" i="3" s="1"/>
  <c r="E47" i="3"/>
  <c r="D47" i="3"/>
  <c r="J43" i="3"/>
  <c r="C35" i="3"/>
  <c r="O32" i="3"/>
  <c r="G32" i="3"/>
  <c r="F32" i="3"/>
  <c r="E32" i="3"/>
  <c r="D32" i="3"/>
  <c r="C32" i="3"/>
  <c r="O31" i="3"/>
  <c r="O30" i="3"/>
  <c r="H30" i="3"/>
  <c r="P30" i="3" s="1"/>
  <c r="O29" i="3"/>
  <c r="O28" i="3"/>
  <c r="F23" i="3"/>
  <c r="E23" i="3"/>
  <c r="D23" i="3"/>
  <c r="C23" i="3"/>
  <c r="G22" i="3"/>
  <c r="F22" i="3"/>
  <c r="E22" i="3"/>
  <c r="D22" i="3"/>
  <c r="C22" i="3"/>
  <c r="H21" i="3"/>
  <c r="I29" i="3" s="1"/>
  <c r="G21" i="3"/>
  <c r="H29" i="3" s="1"/>
  <c r="F21" i="3"/>
  <c r="E21" i="3"/>
  <c r="D21" i="3"/>
  <c r="C21" i="3"/>
  <c r="C20" i="3"/>
  <c r="M16" i="3"/>
  <c r="J16" i="3"/>
  <c r="G16" i="3"/>
  <c r="D16" i="3"/>
  <c r="D20" i="3" s="1"/>
  <c r="D24" i="3" s="1"/>
  <c r="C16" i="3"/>
  <c r="M15" i="3"/>
  <c r="N15" i="3" s="1"/>
  <c r="L15" i="3"/>
  <c r="K15" i="3"/>
  <c r="I15" i="3"/>
  <c r="Q15" i="3" s="1"/>
  <c r="H15" i="3"/>
  <c r="F15" i="3"/>
  <c r="P15" i="3" s="1"/>
  <c r="E15" i="3"/>
  <c r="S15" i="3" s="1"/>
  <c r="D15" i="3"/>
  <c r="O15" i="3" s="1"/>
  <c r="N14" i="3"/>
  <c r="H10" i="3"/>
  <c r="F10" i="3"/>
  <c r="E10" i="3"/>
  <c r="D10" i="3"/>
  <c r="C10" i="3"/>
  <c r="P9" i="3"/>
  <c r="O9" i="3"/>
  <c r="H9" i="3"/>
  <c r="H23" i="3" s="1"/>
  <c r="I31" i="3" s="1"/>
  <c r="G9" i="3"/>
  <c r="G23" i="3" s="1"/>
  <c r="H31" i="3" s="1"/>
  <c r="P8" i="3"/>
  <c r="O8" i="3"/>
  <c r="I8" i="3"/>
  <c r="I22" i="3" s="1"/>
  <c r="J30" i="3" s="1"/>
  <c r="H8" i="3"/>
  <c r="H22" i="3" s="1"/>
  <c r="I30" i="3" s="1"/>
  <c r="P7" i="3"/>
  <c r="O7" i="3"/>
  <c r="I7" i="3"/>
  <c r="J7" i="3" s="1"/>
  <c r="H7" i="3"/>
  <c r="G7" i="3"/>
  <c r="R6" i="3"/>
  <c r="O6" i="3"/>
  <c r="O10" i="3" s="1"/>
  <c r="M6" i="3"/>
  <c r="M20" i="3" s="1"/>
  <c r="I6" i="3"/>
  <c r="D3" i="3"/>
  <c r="E3" i="3" s="1"/>
  <c r="F3" i="3" s="1"/>
  <c r="G3" i="3" s="1"/>
  <c r="H3" i="3" s="1"/>
  <c r="I3" i="3" s="1"/>
  <c r="J3" i="3" s="1"/>
  <c r="K3" i="3" s="1"/>
  <c r="L3" i="3" s="1"/>
  <c r="M3" i="3" s="1"/>
  <c r="N3" i="3" s="1"/>
  <c r="E30" i="1"/>
  <c r="G30" i="1" s="1"/>
  <c r="I30" i="1" s="1"/>
  <c r="O30" i="1" s="1"/>
  <c r="E26" i="1"/>
  <c r="E29" i="1" s="1"/>
  <c r="E24" i="1"/>
  <c r="N23" i="1"/>
  <c r="M12" i="1"/>
  <c r="K12" i="1"/>
  <c r="I12" i="1"/>
  <c r="G12" i="1"/>
  <c r="I11" i="1"/>
  <c r="M11" i="1" s="1"/>
  <c r="G11" i="1"/>
  <c r="I10" i="1"/>
  <c r="M10" i="1" s="1"/>
  <c r="G10" i="1"/>
  <c r="M9" i="1"/>
  <c r="K9" i="1"/>
  <c r="I9" i="1"/>
  <c r="G9" i="1"/>
  <c r="I8" i="1"/>
  <c r="M8" i="1" s="1"/>
  <c r="G8" i="1"/>
  <c r="AI91" i="4" l="1"/>
  <c r="AJ91" i="4" s="1"/>
  <c r="AK91" i="4" s="1"/>
  <c r="AL91" i="4" s="1"/>
  <c r="AM91" i="4" s="1"/>
  <c r="AN91" i="4" s="1"/>
  <c r="AO91" i="4" s="1"/>
  <c r="AW91" i="4"/>
  <c r="AX91" i="4" s="1"/>
  <c r="AY91" i="4" s="1"/>
  <c r="AZ91" i="4" s="1"/>
  <c r="BA91" i="4" s="1"/>
  <c r="BB91" i="4" s="1"/>
  <c r="V91" i="4"/>
  <c r="W91" i="4" s="1"/>
  <c r="X91" i="4" s="1"/>
  <c r="Y91" i="4" s="1"/>
  <c r="Z91" i="4" s="1"/>
  <c r="AA91" i="4" s="1"/>
  <c r="AB91" i="4" s="1"/>
  <c r="AW92" i="4"/>
  <c r="AX92" i="4" s="1"/>
  <c r="AY92" i="4" s="1"/>
  <c r="AZ92" i="4" s="1"/>
  <c r="BA92" i="4" s="1"/>
  <c r="BB92" i="4" s="1"/>
  <c r="AI84" i="4"/>
  <c r="AJ84" i="4" s="1"/>
  <c r="AK84" i="4" s="1"/>
  <c r="AL84" i="4" s="1"/>
  <c r="AM84" i="4" s="1"/>
  <c r="AN84" i="4" s="1"/>
  <c r="AO84" i="4" s="1"/>
  <c r="BJ92" i="4"/>
  <c r="BK92" i="4" s="1"/>
  <c r="BL92" i="4" s="1"/>
  <c r="BM92" i="4" s="1"/>
  <c r="BN92" i="4" s="1"/>
  <c r="BO92" i="4" s="1"/>
  <c r="AI92" i="4"/>
  <c r="AJ92" i="4" s="1"/>
  <c r="AK92" i="4" s="1"/>
  <c r="AL92" i="4" s="1"/>
  <c r="AM92" i="4" s="1"/>
  <c r="AN92" i="4" s="1"/>
  <c r="AO92" i="4" s="1"/>
  <c r="K84" i="4"/>
  <c r="L84" i="4" s="1"/>
  <c r="M84" i="4" s="1"/>
  <c r="N84" i="4" s="1"/>
  <c r="O84" i="4" s="1"/>
  <c r="R84" i="4" s="1"/>
  <c r="S84" i="4" s="1"/>
  <c r="T84" i="4" s="1"/>
  <c r="U84" i="4" s="1"/>
  <c r="I72" i="4"/>
  <c r="J72" i="4" s="1"/>
  <c r="K72" i="4" s="1"/>
  <c r="L72" i="4" s="1"/>
  <c r="M72" i="4" s="1"/>
  <c r="N72" i="4" s="1"/>
  <c r="O72" i="4" s="1"/>
  <c r="Q72" i="4" s="1"/>
  <c r="R72" i="4" s="1"/>
  <c r="S72" i="4" s="1"/>
  <c r="T72" i="4" s="1"/>
  <c r="U72" i="4" s="1"/>
  <c r="S19" i="4"/>
  <c r="S54" i="4" s="1"/>
  <c r="S21" i="4"/>
  <c r="S56" i="4" s="1"/>
  <c r="F3" i="4"/>
  <c r="G3" i="4" s="1"/>
  <c r="G73" i="23"/>
  <c r="H73" i="23" s="1"/>
  <c r="J90" i="4"/>
  <c r="K90" i="4" s="1"/>
  <c r="BE84" i="4"/>
  <c r="J80" i="4"/>
  <c r="K80" i="4" s="1"/>
  <c r="L80" i="4" s="1"/>
  <c r="M80" i="4" s="1"/>
  <c r="BE85" i="4"/>
  <c r="BD91" i="4"/>
  <c r="BE91" i="4" s="1"/>
  <c r="BF91" i="4" s="1"/>
  <c r="BG91" i="4" s="1"/>
  <c r="BH91" i="4" s="1"/>
  <c r="BI91" i="4" s="1"/>
  <c r="I81" i="4"/>
  <c r="J81" i="4" s="1"/>
  <c r="K81" i="4" s="1"/>
  <c r="L81" i="4" s="1"/>
  <c r="M81" i="4" s="1"/>
  <c r="N81" i="4" s="1"/>
  <c r="O81" i="4" s="1"/>
  <c r="Q81" i="4" s="1"/>
  <c r="R81" i="4" s="1"/>
  <c r="S81" i="4" s="1"/>
  <c r="T81" i="4" s="1"/>
  <c r="U81" i="4" s="1"/>
  <c r="B6" i="9"/>
  <c r="B8" i="9"/>
  <c r="B7" i="9"/>
  <c r="B9" i="9"/>
  <c r="K43" i="3"/>
  <c r="E42" i="4"/>
  <c r="BP68" i="4"/>
  <c r="G55" i="23" s="1"/>
  <c r="D87" i="4"/>
  <c r="E87" i="4"/>
  <c r="K85" i="4"/>
  <c r="L85" i="4" s="1"/>
  <c r="M85" i="4" s="1"/>
  <c r="N85" i="4" s="1"/>
  <c r="O85" i="4" s="1"/>
  <c r="Q85" i="4" s="1"/>
  <c r="R85" i="4" s="1"/>
  <c r="S85" i="4" s="1"/>
  <c r="T85" i="4" s="1"/>
  <c r="U85" i="4" s="1"/>
  <c r="BP65" i="4"/>
  <c r="G52" i="23" s="1"/>
  <c r="BD66" i="4"/>
  <c r="D18" i="20"/>
  <c r="D21" i="20"/>
  <c r="D22" i="20" s="1"/>
  <c r="D23" i="20" s="1"/>
  <c r="E16" i="20"/>
  <c r="E17" i="20" s="1"/>
  <c r="E7" i="20"/>
  <c r="E11" i="20"/>
  <c r="G11" i="20" s="1"/>
  <c r="K6" i="20"/>
  <c r="L6" i="20" s="1"/>
  <c r="R6" i="20" s="1"/>
  <c r="G6" i="20"/>
  <c r="N6" i="20" s="1"/>
  <c r="D7" i="20"/>
  <c r="D8" i="20" s="1"/>
  <c r="G7" i="20"/>
  <c r="J7" i="20"/>
  <c r="I7" i="20"/>
  <c r="D12" i="20"/>
  <c r="F12" i="20"/>
  <c r="C12" i="20"/>
  <c r="E22" i="20"/>
  <c r="I12" i="20"/>
  <c r="I17" i="20"/>
  <c r="I22" i="20"/>
  <c r="P31" i="3"/>
  <c r="J53" i="3"/>
  <c r="K53" i="3" s="1"/>
  <c r="L53" i="3" s="1"/>
  <c r="P29" i="3"/>
  <c r="R15" i="3"/>
  <c r="N16" i="3"/>
  <c r="N20" i="3" s="1"/>
  <c r="J21" i="3"/>
  <c r="K29" i="3" s="1"/>
  <c r="K7" i="3"/>
  <c r="Q7" i="3" s="1"/>
  <c r="Q29" i="3"/>
  <c r="I32" i="3"/>
  <c r="G29" i="1"/>
  <c r="I29" i="1" s="1"/>
  <c r="M62" i="3"/>
  <c r="N62" i="3" s="1"/>
  <c r="F47" i="3"/>
  <c r="F51" i="3"/>
  <c r="G61" i="3"/>
  <c r="H61" i="3" s="1"/>
  <c r="I61" i="3" s="1"/>
  <c r="P61" i="3"/>
  <c r="J70" i="3"/>
  <c r="K70" i="3" s="1"/>
  <c r="L70" i="3" s="1"/>
  <c r="I21" i="3"/>
  <c r="J29" i="3" s="1"/>
  <c r="I49" i="3"/>
  <c r="M59" i="3"/>
  <c r="N59" i="3" s="1"/>
  <c r="F63" i="3"/>
  <c r="K10" i="1"/>
  <c r="O51" i="3"/>
  <c r="S59" i="3"/>
  <c r="O69" i="3"/>
  <c r="O72" i="3" s="1"/>
  <c r="E72" i="3"/>
  <c r="C36" i="3"/>
  <c r="E28" i="1"/>
  <c r="E31" i="1"/>
  <c r="O50" i="3"/>
  <c r="O54" i="3"/>
  <c r="O60" i="3"/>
  <c r="F60" i="3"/>
  <c r="F69" i="3"/>
  <c r="S71" i="3"/>
  <c r="BH66" i="4"/>
  <c r="BE66" i="4"/>
  <c r="I79" i="4"/>
  <c r="Q63" i="3"/>
  <c r="J63" i="3"/>
  <c r="K63" i="3" s="1"/>
  <c r="L63" i="3" s="1"/>
  <c r="D57" i="4"/>
  <c r="E52" i="3"/>
  <c r="F52" i="3" s="1"/>
  <c r="O52" i="3"/>
  <c r="G54" i="3"/>
  <c r="H54" i="3" s="1"/>
  <c r="I54" i="3" s="1"/>
  <c r="K65" i="3"/>
  <c r="L65" i="3" s="1"/>
  <c r="K8" i="1"/>
  <c r="K11" i="1"/>
  <c r="J8" i="3"/>
  <c r="I9" i="3"/>
  <c r="D35" i="3"/>
  <c r="D36" i="3" s="1"/>
  <c r="J50" i="3"/>
  <c r="K50" i="3" s="1"/>
  <c r="L50" i="3" s="1"/>
  <c r="K52" i="3"/>
  <c r="L52" i="3" s="1"/>
  <c r="I58" i="3"/>
  <c r="Q62" i="3"/>
  <c r="BK66" i="4"/>
  <c r="R48" i="3"/>
  <c r="J69" i="3"/>
  <c r="M48" i="3"/>
  <c r="N48" i="3" s="1"/>
  <c r="P65" i="3"/>
  <c r="C24" i="3"/>
  <c r="P59" i="3"/>
  <c r="M64" i="3"/>
  <c r="P73" i="4"/>
  <c r="C60" i="23" s="1"/>
  <c r="Q59" i="3"/>
  <c r="O63" i="3"/>
  <c r="F76" i="4"/>
  <c r="P91" i="4"/>
  <c r="C78" i="23" s="1"/>
  <c r="F92" i="4"/>
  <c r="O47" i="3"/>
  <c r="D55" i="3"/>
  <c r="BI66" i="4"/>
  <c r="BJ66" i="4"/>
  <c r="BJ69" i="4" s="1"/>
  <c r="BG69" i="4"/>
  <c r="P74" i="4"/>
  <c r="C61" i="23" s="1"/>
  <c r="O53" i="3"/>
  <c r="C66" i="3"/>
  <c r="BM69" i="4"/>
  <c r="BO66" i="4"/>
  <c r="BO69" i="4" s="1"/>
  <c r="BC85" i="4"/>
  <c r="F72" i="23" s="1"/>
  <c r="S48" i="3"/>
  <c r="D58" i="3"/>
  <c r="E62" i="3"/>
  <c r="BN69" i="4"/>
  <c r="E93" i="4"/>
  <c r="E53" i="3"/>
  <c r="F53" i="3" s="1"/>
  <c r="P53" i="3" s="1"/>
  <c r="P75" i="4"/>
  <c r="C62" i="23" s="1"/>
  <c r="E49" i="3"/>
  <c r="O49" i="3" s="1"/>
  <c r="E76" i="4"/>
  <c r="BF66" i="4"/>
  <c r="BL69" i="4"/>
  <c r="J23" i="6"/>
  <c r="I23" i="6" s="1"/>
  <c r="I22" i="6"/>
  <c r="H22" i="6" s="1"/>
  <c r="H42" i="6"/>
  <c r="H44" i="6" s="1"/>
  <c r="H43" i="6"/>
  <c r="M23" i="6"/>
  <c r="M26" i="6" s="1"/>
  <c r="O26" i="6" s="1"/>
  <c r="E42" i="6"/>
  <c r="D42" i="6" s="1"/>
  <c r="E23" i="6"/>
  <c r="D23" i="6" s="1"/>
  <c r="K10" i="13"/>
  <c r="K13" i="13" s="1"/>
  <c r="K14" i="13" s="1"/>
  <c r="J10" i="13"/>
  <c r="J13" i="13" s="1"/>
  <c r="J14" i="13" s="1"/>
  <c r="I10" i="13"/>
  <c r="I13" i="13" s="1"/>
  <c r="I14" i="13" s="1"/>
  <c r="H10" i="13"/>
  <c r="H13" i="13" s="1"/>
  <c r="H14" i="13" s="1"/>
  <c r="F10" i="13"/>
  <c r="F13" i="13" s="1"/>
  <c r="F14" i="13" s="1"/>
  <c r="P10" i="13"/>
  <c r="P13" i="13" s="1"/>
  <c r="P14" i="13" s="1"/>
  <c r="O10" i="13"/>
  <c r="O13" i="13" s="1"/>
  <c r="O14" i="13" s="1"/>
  <c r="N10" i="13"/>
  <c r="N13" i="13" s="1"/>
  <c r="N14" i="13" s="1"/>
  <c r="M10" i="13"/>
  <c r="M13" i="13" s="1"/>
  <c r="M14" i="13" s="1"/>
  <c r="L10" i="13"/>
  <c r="L13" i="13" s="1"/>
  <c r="L14" i="13" s="1"/>
  <c r="G10" i="13"/>
  <c r="G13" i="13" s="1"/>
  <c r="G14" i="13" s="1"/>
  <c r="E10" i="13"/>
  <c r="F5" i="11"/>
  <c r="F6" i="11"/>
  <c r="F7" i="11" s="1"/>
  <c r="E10" i="11"/>
  <c r="E12" i="11" s="1"/>
  <c r="E16" i="11" s="1"/>
  <c r="E19" i="11" s="1"/>
  <c r="S36" i="14"/>
  <c r="S64" i="14" s="1"/>
  <c r="D36" i="12"/>
  <c r="D38" i="12" s="1"/>
  <c r="H5" i="12" s="1"/>
  <c r="H10" i="12" s="1"/>
  <c r="H12" i="12" s="1"/>
  <c r="AE27" i="14"/>
  <c r="M27" i="14"/>
  <c r="Y27" i="14"/>
  <c r="R26" i="14"/>
  <c r="R36" i="14" s="1"/>
  <c r="R64" i="14" s="1"/>
  <c r="AD26" i="14"/>
  <c r="AD36" i="14" s="1"/>
  <c r="AD64" i="14" s="1"/>
  <c r="L26" i="14"/>
  <c r="AF27" i="14"/>
  <c r="N27" i="14"/>
  <c r="Z27" i="14"/>
  <c r="T27" i="14"/>
  <c r="AG33" i="14"/>
  <c r="AA33" i="14"/>
  <c r="G13" i="14"/>
  <c r="G14" i="14" s="1"/>
  <c r="AF26" i="14"/>
  <c r="AF36" i="14" s="1"/>
  <c r="AF64" i="14" s="1"/>
  <c r="N26" i="14"/>
  <c r="N36" i="14" s="1"/>
  <c r="N64" i="14" s="1"/>
  <c r="Z26" i="14"/>
  <c r="Z36" i="14" s="1"/>
  <c r="Z64" i="14" s="1"/>
  <c r="H36" i="14"/>
  <c r="H64" i="14" s="1"/>
  <c r="U32" i="14"/>
  <c r="AG32" i="14"/>
  <c r="AA32" i="14"/>
  <c r="Q34" i="14"/>
  <c r="AC34" i="14"/>
  <c r="W34" i="14"/>
  <c r="E13" i="14"/>
  <c r="E14" i="14" s="1"/>
  <c r="AG26" i="14"/>
  <c r="AG36" i="14" s="1"/>
  <c r="AG64" i="14" s="1"/>
  <c r="O26" i="14"/>
  <c r="O36" i="14" s="1"/>
  <c r="O64" i="14" s="1"/>
  <c r="AA26" i="14"/>
  <c r="AA36" i="14" s="1"/>
  <c r="AA64" i="14" s="1"/>
  <c r="I36" i="14"/>
  <c r="I64" i="14" s="1"/>
  <c r="U26" i="14"/>
  <c r="U36" i="14" s="1"/>
  <c r="U64" i="14" s="1"/>
  <c r="AC29" i="14"/>
  <c r="K29" i="14"/>
  <c r="W29" i="14"/>
  <c r="H54" i="14"/>
  <c r="N54" i="14" s="1"/>
  <c r="T54" i="14" s="1"/>
  <c r="Z54" i="14" s="1"/>
  <c r="AF54" i="14" s="1"/>
  <c r="E16" i="16"/>
  <c r="E12" i="16"/>
  <c r="E15" i="16" s="1"/>
  <c r="E13" i="16"/>
  <c r="AD29" i="14"/>
  <c r="L29" i="14"/>
  <c r="X29" i="14"/>
  <c r="R29" i="14"/>
  <c r="AE34" i="14"/>
  <c r="Y34" i="14"/>
  <c r="F36" i="14"/>
  <c r="F64" i="14" s="1"/>
  <c r="E15" i="15"/>
  <c r="L15" i="15" s="1"/>
  <c r="G48" i="14" s="1"/>
  <c r="M48" i="14" s="1"/>
  <c r="S48" i="14" s="1"/>
  <c r="Y48" i="14" s="1"/>
  <c r="AE48" i="14" s="1"/>
  <c r="E21" i="15"/>
  <c r="E16" i="15"/>
  <c r="L16" i="15" s="1"/>
  <c r="G49" i="14" s="1"/>
  <c r="M49" i="14" s="1"/>
  <c r="S49" i="14" s="1"/>
  <c r="Y49" i="14" s="1"/>
  <c r="AE49" i="14" s="1"/>
  <c r="E17" i="15"/>
  <c r="L17" i="15" s="1"/>
  <c r="G50" i="14" s="1"/>
  <c r="M50" i="14" s="1"/>
  <c r="S50" i="14" s="1"/>
  <c r="Y50" i="14" s="1"/>
  <c r="AE50" i="14" s="1"/>
  <c r="E18" i="15"/>
  <c r="L18" i="15" s="1"/>
  <c r="G51" i="14" s="1"/>
  <c r="M51" i="14" s="1"/>
  <c r="S51" i="14" s="1"/>
  <c r="Y51" i="14" s="1"/>
  <c r="AE51" i="14" s="1"/>
  <c r="E12" i="15"/>
  <c r="L12" i="15" s="1"/>
  <c r="E14" i="15"/>
  <c r="L14" i="15" s="1"/>
  <c r="G47" i="14" s="1"/>
  <c r="M47" i="14" s="1"/>
  <c r="S47" i="14" s="1"/>
  <c r="Y47" i="14" s="1"/>
  <c r="AE47" i="14" s="1"/>
  <c r="E13" i="15"/>
  <c r="L13" i="15" s="1"/>
  <c r="G46" i="14" s="1"/>
  <c r="M46" i="14" s="1"/>
  <c r="S46" i="14" s="1"/>
  <c r="Y46" i="14" s="1"/>
  <c r="AE46" i="14" s="1"/>
  <c r="T26" i="14"/>
  <c r="T36" i="14" s="1"/>
  <c r="T64" i="14" s="1"/>
  <c r="AF34" i="14"/>
  <c r="Z34" i="14"/>
  <c r="T34" i="14"/>
  <c r="G36" i="14"/>
  <c r="G64" i="14" s="1"/>
  <c r="G21" i="15"/>
  <c r="G16" i="15"/>
  <c r="N16" i="15" s="1"/>
  <c r="I49" i="14" s="1"/>
  <c r="O49" i="14" s="1"/>
  <c r="U49" i="14" s="1"/>
  <c r="AA49" i="14" s="1"/>
  <c r="AG49" i="14" s="1"/>
  <c r="G17" i="15"/>
  <c r="N17" i="15" s="1"/>
  <c r="I50" i="14" s="1"/>
  <c r="O50" i="14" s="1"/>
  <c r="U50" i="14" s="1"/>
  <c r="AA50" i="14" s="1"/>
  <c r="AG50" i="14" s="1"/>
  <c r="G18" i="15"/>
  <c r="N18" i="15" s="1"/>
  <c r="I51" i="14" s="1"/>
  <c r="O51" i="14" s="1"/>
  <c r="U51" i="14" s="1"/>
  <c r="AA51" i="14" s="1"/>
  <c r="AG51" i="14" s="1"/>
  <c r="G12" i="15"/>
  <c r="N12" i="15" s="1"/>
  <c r="G13" i="15"/>
  <c r="N13" i="15" s="1"/>
  <c r="I46" i="14" s="1"/>
  <c r="O46" i="14" s="1"/>
  <c r="U46" i="14" s="1"/>
  <c r="AA46" i="14" s="1"/>
  <c r="AG46" i="14" s="1"/>
  <c r="G15" i="15"/>
  <c r="N15" i="15" s="1"/>
  <c r="I48" i="14" s="1"/>
  <c r="O48" i="14" s="1"/>
  <c r="U48" i="14" s="1"/>
  <c r="AA48" i="14" s="1"/>
  <c r="AG48" i="14" s="1"/>
  <c r="G14" i="15"/>
  <c r="N14" i="15" s="1"/>
  <c r="I47" i="14" s="1"/>
  <c r="O47" i="14" s="1"/>
  <c r="U47" i="14" s="1"/>
  <c r="AA47" i="14" s="1"/>
  <c r="AG47" i="14" s="1"/>
  <c r="X26" i="14"/>
  <c r="AD28" i="14"/>
  <c r="L28" i="14"/>
  <c r="X28" i="14"/>
  <c r="U33" i="14"/>
  <c r="AE28" i="14"/>
  <c r="M28" i="14"/>
  <c r="Y28" i="14"/>
  <c r="S28" i="14"/>
  <c r="Q29" i="14"/>
  <c r="Q27" i="14"/>
  <c r="Q36" i="14" s="1"/>
  <c r="Q64" i="14" s="1"/>
  <c r="AC27" i="14"/>
  <c r="AC36" i="14" s="1"/>
  <c r="AC64" i="14" s="1"/>
  <c r="K27" i="14"/>
  <c r="K36" i="14" s="1"/>
  <c r="K64" i="14" s="1"/>
  <c r="E36" i="14"/>
  <c r="Q11" i="13"/>
  <c r="S33" i="14"/>
  <c r="AE33" i="14"/>
  <c r="Y33" i="14"/>
  <c r="AG28" i="14"/>
  <c r="AF29" i="14"/>
  <c r="AD30" i="14"/>
  <c r="F27" i="15"/>
  <c r="M27" i="15" s="1"/>
  <c r="H60" i="14" s="1"/>
  <c r="N60" i="14" s="1"/>
  <c r="T60" i="14" s="1"/>
  <c r="Z60" i="14" s="1"/>
  <c r="AF60" i="14" s="1"/>
  <c r="F22" i="15"/>
  <c r="M22" i="15" s="1"/>
  <c r="H55" i="14" s="1"/>
  <c r="N55" i="14" s="1"/>
  <c r="T55" i="14" s="1"/>
  <c r="Z55" i="14" s="1"/>
  <c r="AF55" i="14" s="1"/>
  <c r="F23" i="15"/>
  <c r="M23" i="15" s="1"/>
  <c r="H56" i="14" s="1"/>
  <c r="N56" i="14" s="1"/>
  <c r="T56" i="14" s="1"/>
  <c r="Z56" i="14" s="1"/>
  <c r="AF56" i="14" s="1"/>
  <c r="F24" i="15"/>
  <c r="M24" i="15" s="1"/>
  <c r="H57" i="14" s="1"/>
  <c r="N57" i="14" s="1"/>
  <c r="T57" i="14" s="1"/>
  <c r="Z57" i="14" s="1"/>
  <c r="AF57" i="14" s="1"/>
  <c r="M6" i="16"/>
  <c r="Y26" i="14"/>
  <c r="X27" i="14"/>
  <c r="W28" i="14"/>
  <c r="W36" i="14" s="1"/>
  <c r="W64" i="14" s="1"/>
  <c r="Z33" i="14"/>
  <c r="X34" i="14"/>
  <c r="M26" i="14"/>
  <c r="L27" i="14"/>
  <c r="K28" i="14"/>
  <c r="AA27" i="14"/>
  <c r="Z28" i="14"/>
  <c r="Y29" i="14"/>
  <c r="C14" i="15"/>
  <c r="J14" i="15" s="1"/>
  <c r="E47" i="14" s="1"/>
  <c r="K47" i="14" s="1"/>
  <c r="Q47" i="14" s="1"/>
  <c r="W47" i="14" s="1"/>
  <c r="AC47" i="14" s="1"/>
  <c r="C15" i="15"/>
  <c r="J15" i="15" s="1"/>
  <c r="E48" i="14" s="1"/>
  <c r="K48" i="14" s="1"/>
  <c r="Q48" i="14" s="1"/>
  <c r="W48" i="14" s="1"/>
  <c r="AC48" i="14" s="1"/>
  <c r="C21" i="15"/>
  <c r="C16" i="15"/>
  <c r="J16" i="15" s="1"/>
  <c r="E49" i="14" s="1"/>
  <c r="K49" i="14" s="1"/>
  <c r="Q49" i="14" s="1"/>
  <c r="W49" i="14" s="1"/>
  <c r="AC49" i="14" s="1"/>
  <c r="C17" i="15"/>
  <c r="J17" i="15" s="1"/>
  <c r="E50" i="14" s="1"/>
  <c r="K50" i="14" s="1"/>
  <c r="Q50" i="14" s="1"/>
  <c r="W50" i="14" s="1"/>
  <c r="AC50" i="14" s="1"/>
  <c r="C13" i="15"/>
  <c r="J13" i="15" s="1"/>
  <c r="E46" i="14" s="1"/>
  <c r="K46" i="14" s="1"/>
  <c r="Q46" i="14" s="1"/>
  <c r="W46" i="14" s="1"/>
  <c r="AC46" i="14" s="1"/>
  <c r="F10" i="14"/>
  <c r="F13" i="14" s="1"/>
  <c r="F14" i="14" s="1"/>
  <c r="AA28" i="14"/>
  <c r="Z29" i="14"/>
  <c r="D15" i="15"/>
  <c r="K15" i="15" s="1"/>
  <c r="F48" i="14" s="1"/>
  <c r="L48" i="14" s="1"/>
  <c r="R48" i="14" s="1"/>
  <c r="X48" i="14" s="1"/>
  <c r="AD48" i="14" s="1"/>
  <c r="D21" i="15"/>
  <c r="D16" i="15"/>
  <c r="K16" i="15" s="1"/>
  <c r="F49" i="14" s="1"/>
  <c r="L49" i="14" s="1"/>
  <c r="R49" i="14" s="1"/>
  <c r="X49" i="14" s="1"/>
  <c r="AD49" i="14" s="1"/>
  <c r="D17" i="15"/>
  <c r="K17" i="15" s="1"/>
  <c r="F50" i="14" s="1"/>
  <c r="L50" i="14" s="1"/>
  <c r="R50" i="14" s="1"/>
  <c r="X50" i="14" s="1"/>
  <c r="AD50" i="14" s="1"/>
  <c r="D18" i="15"/>
  <c r="K18" i="15" s="1"/>
  <c r="F51" i="14" s="1"/>
  <c r="L51" i="14" s="1"/>
  <c r="R51" i="14" s="1"/>
  <c r="X51" i="14" s="1"/>
  <c r="AD51" i="14" s="1"/>
  <c r="D12" i="15"/>
  <c r="K12" i="15" s="1"/>
  <c r="F25" i="15"/>
  <c r="M25" i="15" s="1"/>
  <c r="H58" i="14" s="1"/>
  <c r="N58" i="14" s="1"/>
  <c r="T58" i="14" s="1"/>
  <c r="Z58" i="14" s="1"/>
  <c r="AF58" i="14" s="1"/>
  <c r="D12" i="17"/>
  <c r="D15" i="17" s="1"/>
  <c r="D16" i="17" s="1"/>
  <c r="D13" i="17"/>
  <c r="P13" i="17" s="1"/>
  <c r="AE26" i="14"/>
  <c r="AD27" i="14"/>
  <c r="AC28" i="14"/>
  <c r="AA29" i="14"/>
  <c r="AF33" i="14"/>
  <c r="AD34" i="14"/>
  <c r="I6" i="16"/>
  <c r="D13" i="16"/>
  <c r="D12" i="16"/>
  <c r="D15" i="16" s="1"/>
  <c r="D16" i="16" s="1"/>
  <c r="E12" i="17"/>
  <c r="E15" i="17" s="1"/>
  <c r="E16" i="17" s="1"/>
  <c r="E13" i="17"/>
  <c r="F26" i="15"/>
  <c r="M26" i="15" s="1"/>
  <c r="H59" i="14" s="1"/>
  <c r="N59" i="14" s="1"/>
  <c r="T59" i="14" s="1"/>
  <c r="Z59" i="14" s="1"/>
  <c r="AF59" i="14" s="1"/>
  <c r="P8" i="17"/>
  <c r="F13" i="15"/>
  <c r="M13" i="15" s="1"/>
  <c r="H46" i="14" s="1"/>
  <c r="N46" i="14" s="1"/>
  <c r="T46" i="14" s="1"/>
  <c r="Z46" i="14" s="1"/>
  <c r="AF46" i="14" s="1"/>
  <c r="F12" i="15"/>
  <c r="M12" i="15" s="1"/>
  <c r="F18" i="15"/>
  <c r="M18" i="15" s="1"/>
  <c r="H51" i="14" s="1"/>
  <c r="N51" i="14" s="1"/>
  <c r="T51" i="14" s="1"/>
  <c r="Z51" i="14" s="1"/>
  <c r="AF51" i="14" s="1"/>
  <c r="F12" i="16"/>
  <c r="F15" i="16" s="1"/>
  <c r="F16" i="16" s="1"/>
  <c r="F17" i="15"/>
  <c r="M17" i="15" s="1"/>
  <c r="H50" i="14" s="1"/>
  <c r="N50" i="14" s="1"/>
  <c r="T50" i="14" s="1"/>
  <c r="Z50" i="14" s="1"/>
  <c r="AF50" i="14" s="1"/>
  <c r="F16" i="15"/>
  <c r="M16" i="15" s="1"/>
  <c r="H49" i="14" s="1"/>
  <c r="N49" i="14" s="1"/>
  <c r="T49" i="14" s="1"/>
  <c r="Z49" i="14" s="1"/>
  <c r="AF49" i="14" s="1"/>
  <c r="F12" i="17"/>
  <c r="F15" i="17" s="1"/>
  <c r="F16" i="17" s="1"/>
  <c r="F13" i="17"/>
  <c r="D15" i="18"/>
  <c r="D12" i="18"/>
  <c r="D14" i="18" s="1"/>
  <c r="E15" i="18"/>
  <c r="E12" i="18"/>
  <c r="E14" i="18" s="1"/>
  <c r="F15" i="18"/>
  <c r="F12" i="18"/>
  <c r="F14" i="18" s="1"/>
  <c r="D6" i="9" l="1"/>
  <c r="D7" i="9" s="1"/>
  <c r="D8" i="9" s="1"/>
  <c r="D60" i="4"/>
  <c r="D61" i="4" s="1"/>
  <c r="D97" i="4"/>
  <c r="AP84" i="4"/>
  <c r="E71" i="23" s="1"/>
  <c r="P72" i="4"/>
  <c r="C59" i="23" s="1"/>
  <c r="BF84" i="4"/>
  <c r="BG84" i="4" s="1"/>
  <c r="BH84" i="4" s="1"/>
  <c r="BI84" i="4" s="1"/>
  <c r="BJ91" i="4"/>
  <c r="BK91" i="4" s="1"/>
  <c r="BL91" i="4" s="1"/>
  <c r="BM91" i="4" s="1"/>
  <c r="BN91" i="4" s="1"/>
  <c r="BO91" i="4" s="1"/>
  <c r="V72" i="4"/>
  <c r="BF85" i="4"/>
  <c r="BG85" i="4" s="1"/>
  <c r="BH85" i="4" s="1"/>
  <c r="BI85" i="4" s="1"/>
  <c r="V85" i="4"/>
  <c r="W85" i="4" s="1"/>
  <c r="X85" i="4" s="1"/>
  <c r="Y85" i="4" s="1"/>
  <c r="Z85" i="4" s="1"/>
  <c r="AA85" i="4" s="1"/>
  <c r="AB85" i="4" s="1"/>
  <c r="AE85" i="4" s="1"/>
  <c r="AF85" i="4" s="1"/>
  <c r="AG85" i="4" s="1"/>
  <c r="AH85" i="4" s="1"/>
  <c r="R80" i="4"/>
  <c r="S80" i="4" s="1"/>
  <c r="K92" i="4"/>
  <c r="L92" i="4" s="1"/>
  <c r="M92" i="4" s="1"/>
  <c r="N92" i="4" s="1"/>
  <c r="O92" i="4" s="1"/>
  <c r="R92" i="4" s="1"/>
  <c r="S92" i="4" s="1"/>
  <c r="T92" i="4" s="1"/>
  <c r="U92" i="4" s="1"/>
  <c r="V92" i="4" s="1"/>
  <c r="W92" i="4" s="1"/>
  <c r="X92" i="4" s="1"/>
  <c r="Y92" i="4" s="1"/>
  <c r="Z92" i="4" s="1"/>
  <c r="AA92" i="4" s="1"/>
  <c r="AB92" i="4" s="1"/>
  <c r="F93" i="4"/>
  <c r="G92" i="4"/>
  <c r="E12" i="20"/>
  <c r="T21" i="4"/>
  <c r="T19" i="4"/>
  <c r="D96" i="4"/>
  <c r="J93" i="4"/>
  <c r="H3" i="4"/>
  <c r="I3" i="4" s="1"/>
  <c r="J3" i="4" s="1"/>
  <c r="K3" i="4" s="1"/>
  <c r="L3" i="4" s="1"/>
  <c r="M3" i="4" s="1"/>
  <c r="N3" i="4" s="1"/>
  <c r="O3" i="4" s="1"/>
  <c r="Q3" i="4" s="1"/>
  <c r="R3" i="4" s="1"/>
  <c r="S3" i="4" s="1"/>
  <c r="T3" i="4" s="1"/>
  <c r="U3" i="4" s="1"/>
  <c r="V3" i="4" s="1"/>
  <c r="W3" i="4" s="1"/>
  <c r="X3" i="4" s="1"/>
  <c r="Y3" i="4" s="1"/>
  <c r="Z3" i="4" s="1"/>
  <c r="AA3" i="4" s="1"/>
  <c r="AB3" i="4" s="1"/>
  <c r="AD3" i="4" s="1"/>
  <c r="AE3" i="4" s="1"/>
  <c r="AF3" i="4" s="1"/>
  <c r="AG3" i="4" s="1"/>
  <c r="AH3" i="4" s="1"/>
  <c r="AI3" i="4" s="1"/>
  <c r="AJ3" i="4" s="1"/>
  <c r="AK3" i="4" s="1"/>
  <c r="AL3" i="4" s="1"/>
  <c r="AM3" i="4" s="1"/>
  <c r="AN3" i="4" s="1"/>
  <c r="AO3" i="4" s="1"/>
  <c r="AQ3" i="4" s="1"/>
  <c r="AR3" i="4" s="1"/>
  <c r="AS3" i="4" s="1"/>
  <c r="AT3" i="4" s="1"/>
  <c r="AU3" i="4" s="1"/>
  <c r="AV3" i="4" s="1"/>
  <c r="AW3" i="4" s="1"/>
  <c r="AX3" i="4" s="1"/>
  <c r="AY3" i="4" s="1"/>
  <c r="AZ3" i="4" s="1"/>
  <c r="BA3" i="4" s="1"/>
  <c r="BB3" i="4" s="1"/>
  <c r="BD3" i="4" s="1"/>
  <c r="BE3" i="4" s="1"/>
  <c r="BF3" i="4" s="1"/>
  <c r="BG3" i="4" s="1"/>
  <c r="BH3" i="4" s="1"/>
  <c r="BI3" i="4" s="1"/>
  <c r="BJ3" i="4" s="1"/>
  <c r="BK3" i="4" s="1"/>
  <c r="BL3" i="4" s="1"/>
  <c r="BM3" i="4" s="1"/>
  <c r="BN3" i="4" s="1"/>
  <c r="BO3" i="4" s="1"/>
  <c r="AP92" i="4"/>
  <c r="E79" i="23" s="1"/>
  <c r="BC73" i="4"/>
  <c r="F60" i="23" s="1"/>
  <c r="BP73" i="4"/>
  <c r="G60" i="23" s="1"/>
  <c r="BC92" i="4"/>
  <c r="F79" i="23" s="1"/>
  <c r="H87" i="4"/>
  <c r="BI69" i="4"/>
  <c r="L43" i="3"/>
  <c r="BK69" i="4"/>
  <c r="BE69" i="4"/>
  <c r="F87" i="4"/>
  <c r="E57" i="4"/>
  <c r="AP91" i="4"/>
  <c r="E78" i="23" s="1"/>
  <c r="P85" i="4"/>
  <c r="BP66" i="4"/>
  <c r="G53" i="23" s="1"/>
  <c r="G87" i="4"/>
  <c r="BP67" i="4"/>
  <c r="G54" i="23" s="1"/>
  <c r="BF69" i="4"/>
  <c r="P84" i="4"/>
  <c r="C71" i="23" s="1"/>
  <c r="BH69" i="4"/>
  <c r="AC84" i="4"/>
  <c r="D71" i="23" s="1"/>
  <c r="O6" i="20"/>
  <c r="P6" i="20" s="1"/>
  <c r="G16" i="20"/>
  <c r="N16" i="20"/>
  <c r="N21" i="20"/>
  <c r="N11" i="20"/>
  <c r="O11" i="20" s="1"/>
  <c r="D13" i="20"/>
  <c r="G21" i="20"/>
  <c r="J22" i="20"/>
  <c r="K7" i="20"/>
  <c r="G12" i="20"/>
  <c r="J17" i="20"/>
  <c r="K16" i="20"/>
  <c r="J12" i="20"/>
  <c r="K11" i="20"/>
  <c r="C20" i="14"/>
  <c r="C20" i="13"/>
  <c r="O29" i="1"/>
  <c r="F21" i="16"/>
  <c r="F19" i="16"/>
  <c r="F22" i="16"/>
  <c r="F20" i="16"/>
  <c r="F25" i="16" s="1"/>
  <c r="D21" i="17"/>
  <c r="D19" i="17"/>
  <c r="D20" i="17"/>
  <c r="D24" i="17" s="1"/>
  <c r="E21" i="17"/>
  <c r="E19" i="17"/>
  <c r="E20" i="17"/>
  <c r="E24" i="17" s="1"/>
  <c r="F19" i="17"/>
  <c r="F20" i="17"/>
  <c r="F24" i="17" s="1"/>
  <c r="F21" i="17"/>
  <c r="D21" i="16"/>
  <c r="D19" i="16"/>
  <c r="D22" i="16"/>
  <c r="D20" i="16"/>
  <c r="D25" i="16" s="1"/>
  <c r="G51" i="3"/>
  <c r="H51" i="3" s="1"/>
  <c r="I51" i="3" s="1"/>
  <c r="P51" i="3"/>
  <c r="K20" i="13"/>
  <c r="K18" i="13"/>
  <c r="K17" i="13"/>
  <c r="E58" i="3"/>
  <c r="E66" i="3" s="1"/>
  <c r="D66" i="3"/>
  <c r="J54" i="3"/>
  <c r="K54" i="3" s="1"/>
  <c r="L54" i="3" s="1"/>
  <c r="Q54" i="3"/>
  <c r="P69" i="3"/>
  <c r="P72" i="3" s="1"/>
  <c r="F72" i="3"/>
  <c r="M19" i="15"/>
  <c r="H45" i="14"/>
  <c r="N45" i="14" s="1"/>
  <c r="T45" i="14" s="1"/>
  <c r="Z45" i="14" s="1"/>
  <c r="AF45" i="14" s="1"/>
  <c r="L19" i="15"/>
  <c r="G45" i="14"/>
  <c r="M45" i="14" s="1"/>
  <c r="S45" i="14" s="1"/>
  <c r="Y45" i="14" s="1"/>
  <c r="AE45" i="14" s="1"/>
  <c r="E13" i="13"/>
  <c r="E14" i="13" s="1"/>
  <c r="Q10" i="13"/>
  <c r="Q13" i="13" s="1"/>
  <c r="Q14" i="13" s="1"/>
  <c r="I23" i="3"/>
  <c r="J9" i="3"/>
  <c r="I10" i="3"/>
  <c r="AC73" i="4"/>
  <c r="D60" i="23" s="1"/>
  <c r="P54" i="3"/>
  <c r="M63" i="3"/>
  <c r="N63" i="3" s="1"/>
  <c r="G60" i="3"/>
  <c r="P63" i="3"/>
  <c r="G63" i="3"/>
  <c r="R62" i="3"/>
  <c r="E19" i="18"/>
  <c r="E24" i="18" s="1"/>
  <c r="E20" i="18"/>
  <c r="E18" i="18"/>
  <c r="E21" i="18"/>
  <c r="Y36" i="14"/>
  <c r="Y64" i="14" s="1"/>
  <c r="J19" i="15"/>
  <c r="G20" i="13"/>
  <c r="G18" i="13"/>
  <c r="G17" i="13"/>
  <c r="L90" i="4"/>
  <c r="AC91" i="4"/>
  <c r="D78" i="23" s="1"/>
  <c r="O55" i="3"/>
  <c r="J22" i="3"/>
  <c r="K8" i="3"/>
  <c r="Q8" i="3" s="1"/>
  <c r="E55" i="3"/>
  <c r="G52" i="3"/>
  <c r="P52" i="3"/>
  <c r="J49" i="3"/>
  <c r="K49" i="3" s="1"/>
  <c r="L49" i="3" s="1"/>
  <c r="G47" i="3"/>
  <c r="F55" i="3"/>
  <c r="E17" i="14"/>
  <c r="E20" i="14"/>
  <c r="E18" i="14"/>
  <c r="G17" i="14"/>
  <c r="G20" i="14"/>
  <c r="G18" i="14"/>
  <c r="M18" i="13"/>
  <c r="M17" i="13"/>
  <c r="M20" i="13"/>
  <c r="H45" i="6"/>
  <c r="J45" i="6" s="1"/>
  <c r="BD69" i="4"/>
  <c r="Q65" i="3"/>
  <c r="M65" i="3"/>
  <c r="N65" i="3" s="1"/>
  <c r="N18" i="13"/>
  <c r="N17" i="13"/>
  <c r="N20" i="13"/>
  <c r="N64" i="3"/>
  <c r="R64" i="3" s="1"/>
  <c r="J58" i="3"/>
  <c r="E21" i="16"/>
  <c r="E19" i="16"/>
  <c r="E20" i="16"/>
  <c r="E25" i="16" s="1"/>
  <c r="E22" i="16"/>
  <c r="X36" i="14"/>
  <c r="X64" i="14" s="1"/>
  <c r="M28" i="15"/>
  <c r="H61" i="14" s="1"/>
  <c r="N61" i="14" s="1"/>
  <c r="T61" i="14" s="1"/>
  <c r="Z61" i="14" s="1"/>
  <c r="AF61" i="14" s="1"/>
  <c r="P18" i="13"/>
  <c r="P17" i="13"/>
  <c r="P20" i="13"/>
  <c r="M52" i="3"/>
  <c r="N52" i="3" s="1"/>
  <c r="J79" i="4"/>
  <c r="I87" i="4"/>
  <c r="Q70" i="3"/>
  <c r="S63" i="3"/>
  <c r="Q52" i="3"/>
  <c r="D26" i="15"/>
  <c r="K26" i="15" s="1"/>
  <c r="F59" i="14" s="1"/>
  <c r="L59" i="14" s="1"/>
  <c r="R59" i="14" s="1"/>
  <c r="X59" i="14" s="1"/>
  <c r="AD59" i="14" s="1"/>
  <c r="D27" i="15"/>
  <c r="K27" i="15" s="1"/>
  <c r="F60" i="14" s="1"/>
  <c r="L60" i="14" s="1"/>
  <c r="R60" i="14" s="1"/>
  <c r="X60" i="14" s="1"/>
  <c r="AD60" i="14" s="1"/>
  <c r="D22" i="15"/>
  <c r="K22" i="15" s="1"/>
  <c r="F55" i="14" s="1"/>
  <c r="L55" i="14" s="1"/>
  <c r="R55" i="14" s="1"/>
  <c r="X55" i="14" s="1"/>
  <c r="AD55" i="14" s="1"/>
  <c r="D23" i="15"/>
  <c r="K23" i="15" s="1"/>
  <c r="F56" i="14" s="1"/>
  <c r="L56" i="14" s="1"/>
  <c r="R56" i="14" s="1"/>
  <c r="X56" i="14" s="1"/>
  <c r="AD56" i="14" s="1"/>
  <c r="K21" i="15"/>
  <c r="D25" i="15"/>
  <c r="K25" i="15" s="1"/>
  <c r="F58" i="14" s="1"/>
  <c r="L58" i="14" s="1"/>
  <c r="R58" i="14" s="1"/>
  <c r="X58" i="14" s="1"/>
  <c r="AD58" i="14" s="1"/>
  <c r="D24" i="15"/>
  <c r="K24" i="15" s="1"/>
  <c r="F57" i="14" s="1"/>
  <c r="L57" i="14" s="1"/>
  <c r="R57" i="14" s="1"/>
  <c r="X57" i="14" s="1"/>
  <c r="AD57" i="14" s="1"/>
  <c r="M25" i="6"/>
  <c r="K14" i="3"/>
  <c r="E26" i="15"/>
  <c r="L26" i="15" s="1"/>
  <c r="G59" i="14" s="1"/>
  <c r="M59" i="14" s="1"/>
  <c r="S59" i="14" s="1"/>
  <c r="Y59" i="14" s="1"/>
  <c r="AE59" i="14" s="1"/>
  <c r="E27" i="15"/>
  <c r="L27" i="15" s="1"/>
  <c r="G60" i="14" s="1"/>
  <c r="M60" i="14" s="1"/>
  <c r="S60" i="14" s="1"/>
  <c r="Y60" i="14" s="1"/>
  <c r="AE60" i="14" s="1"/>
  <c r="E22" i="15"/>
  <c r="L22" i="15" s="1"/>
  <c r="G55" i="14" s="1"/>
  <c r="M55" i="14" s="1"/>
  <c r="S55" i="14" s="1"/>
  <c r="Y55" i="14" s="1"/>
  <c r="AE55" i="14" s="1"/>
  <c r="E23" i="15"/>
  <c r="L23" i="15" s="1"/>
  <c r="G56" i="14" s="1"/>
  <c r="M56" i="14" s="1"/>
  <c r="S56" i="14" s="1"/>
  <c r="Y56" i="14" s="1"/>
  <c r="AE56" i="14" s="1"/>
  <c r="E25" i="15"/>
  <c r="L25" i="15" s="1"/>
  <c r="G58" i="14" s="1"/>
  <c r="M58" i="14" s="1"/>
  <c r="S58" i="14" s="1"/>
  <c r="Y58" i="14" s="1"/>
  <c r="AE58" i="14" s="1"/>
  <c r="L21" i="15"/>
  <c r="E24" i="15"/>
  <c r="L24" i="15" s="1"/>
  <c r="G57" i="14" s="1"/>
  <c r="M57" i="14" s="1"/>
  <c r="S57" i="14" s="1"/>
  <c r="Y57" i="14" s="1"/>
  <c r="AE57" i="14" s="1"/>
  <c r="F17" i="14"/>
  <c r="F20" i="14"/>
  <c r="F18" i="14"/>
  <c r="F17" i="13"/>
  <c r="F18" i="13"/>
  <c r="F20" i="13"/>
  <c r="C26" i="6"/>
  <c r="E26" i="6" s="1"/>
  <c r="C23" i="6"/>
  <c r="C24" i="6"/>
  <c r="G6" i="3"/>
  <c r="H23" i="6"/>
  <c r="H24" i="6" s="1"/>
  <c r="J6" i="3"/>
  <c r="M50" i="3"/>
  <c r="N50" i="3" s="1"/>
  <c r="M70" i="3"/>
  <c r="L7" i="3"/>
  <c r="K21" i="3"/>
  <c r="P12" i="17"/>
  <c r="P15" i="17" s="1"/>
  <c r="P16" i="17" s="1"/>
  <c r="BL6" i="16"/>
  <c r="AZ6" i="16"/>
  <c r="AN6" i="16"/>
  <c r="AB6" i="16"/>
  <c r="BK6" i="16"/>
  <c r="AY6" i="16"/>
  <c r="AM6" i="16"/>
  <c r="AA6" i="16"/>
  <c r="O6" i="16"/>
  <c r="BJ6" i="16"/>
  <c r="AX6" i="16"/>
  <c r="AL6" i="16"/>
  <c r="Z6" i="16"/>
  <c r="BI6" i="16"/>
  <c r="AW6" i="16"/>
  <c r="AK6" i="16"/>
  <c r="Y6" i="16"/>
  <c r="BH6" i="16"/>
  <c r="AV6" i="16"/>
  <c r="AJ6" i="16"/>
  <c r="X6" i="16"/>
  <c r="BG6" i="16"/>
  <c r="AU6" i="16"/>
  <c r="AI6" i="16"/>
  <c r="W6" i="16"/>
  <c r="K6" i="16"/>
  <c r="BF6" i="16"/>
  <c r="AT6" i="16"/>
  <c r="AH6" i="16"/>
  <c r="V6" i="16"/>
  <c r="J6" i="16"/>
  <c r="BE6" i="16"/>
  <c r="AS6" i="16"/>
  <c r="AG6" i="16"/>
  <c r="U6" i="16"/>
  <c r="BN6" i="16"/>
  <c r="BB6" i="16"/>
  <c r="AD6" i="16"/>
  <c r="R6" i="16"/>
  <c r="AF6" i="16"/>
  <c r="AE6" i="16"/>
  <c r="T6" i="16"/>
  <c r="BO6" i="16"/>
  <c r="S6" i="16"/>
  <c r="BM6" i="16"/>
  <c r="Q6" i="16"/>
  <c r="BD6" i="16"/>
  <c r="H6" i="16"/>
  <c r="G6" i="16"/>
  <c r="AQ6" i="16"/>
  <c r="BA6" i="16"/>
  <c r="E64" i="14"/>
  <c r="AR6" i="16"/>
  <c r="AO6" i="16"/>
  <c r="G27" i="15"/>
  <c r="N27" i="15" s="1"/>
  <c r="I60" i="14" s="1"/>
  <c r="O60" i="14" s="1"/>
  <c r="U60" i="14" s="1"/>
  <c r="AA60" i="14" s="1"/>
  <c r="AG60" i="14" s="1"/>
  <c r="G22" i="15"/>
  <c r="N22" i="15" s="1"/>
  <c r="I55" i="14" s="1"/>
  <c r="O55" i="14" s="1"/>
  <c r="U55" i="14" s="1"/>
  <c r="AA55" i="14" s="1"/>
  <c r="AG55" i="14" s="1"/>
  <c r="G23" i="15"/>
  <c r="N23" i="15" s="1"/>
  <c r="I56" i="14" s="1"/>
  <c r="O56" i="14" s="1"/>
  <c r="U56" i="14" s="1"/>
  <c r="AA56" i="14" s="1"/>
  <c r="AG56" i="14" s="1"/>
  <c r="G24" i="15"/>
  <c r="N24" i="15" s="1"/>
  <c r="I57" i="14" s="1"/>
  <c r="O57" i="14" s="1"/>
  <c r="U57" i="14" s="1"/>
  <c r="AA57" i="14" s="1"/>
  <c r="AG57" i="14" s="1"/>
  <c r="N21" i="15"/>
  <c r="G26" i="15"/>
  <c r="N26" i="15" s="1"/>
  <c r="I59" i="14" s="1"/>
  <c r="O59" i="14" s="1"/>
  <c r="U59" i="14" s="1"/>
  <c r="AA59" i="14" s="1"/>
  <c r="AG59" i="14" s="1"/>
  <c r="G25" i="15"/>
  <c r="N25" i="15" s="1"/>
  <c r="I58" i="14" s="1"/>
  <c r="O58" i="14" s="1"/>
  <c r="U58" i="14" s="1"/>
  <c r="AA58" i="14" s="1"/>
  <c r="AG58" i="14" s="1"/>
  <c r="M24" i="6"/>
  <c r="M36" i="14"/>
  <c r="M64" i="14" s="1"/>
  <c r="H20" i="13"/>
  <c r="H17" i="13"/>
  <c r="H18" i="13"/>
  <c r="V81" i="4"/>
  <c r="P81" i="4"/>
  <c r="C68" i="23" s="1"/>
  <c r="Q50" i="3"/>
  <c r="M53" i="3"/>
  <c r="N53" i="3" s="1"/>
  <c r="D19" i="18"/>
  <c r="D24" i="18" s="1"/>
  <c r="D20" i="18"/>
  <c r="D18" i="18"/>
  <c r="D21" i="18"/>
  <c r="L6" i="16"/>
  <c r="O18" i="13"/>
  <c r="O17" i="13"/>
  <c r="O20" i="13"/>
  <c r="N6" i="16"/>
  <c r="F8" i="11"/>
  <c r="I20" i="13"/>
  <c r="I17" i="13"/>
  <c r="I18" i="13"/>
  <c r="BC75" i="4"/>
  <c r="F62" i="23" s="1"/>
  <c r="K69" i="3"/>
  <c r="J72" i="3"/>
  <c r="I31" i="1"/>
  <c r="O31" i="1" s="1"/>
  <c r="G31" i="1"/>
  <c r="J61" i="3"/>
  <c r="Q53" i="3"/>
  <c r="F20" i="18"/>
  <c r="F18" i="18"/>
  <c r="F21" i="18"/>
  <c r="F19" i="18"/>
  <c r="F24" i="18" s="1"/>
  <c r="I6" i="18"/>
  <c r="I8" i="18" s="1"/>
  <c r="I6" i="17"/>
  <c r="I8" i="17" s="1"/>
  <c r="I8" i="16"/>
  <c r="M6" i="17"/>
  <c r="M8" i="17" s="1"/>
  <c r="M6" i="18"/>
  <c r="M8" i="18" s="1"/>
  <c r="M8" i="16"/>
  <c r="L20" i="13"/>
  <c r="L18" i="13"/>
  <c r="L17" i="13"/>
  <c r="O58" i="3"/>
  <c r="O66" i="3" s="1"/>
  <c r="AE36" i="14"/>
  <c r="AE64" i="14" s="1"/>
  <c r="K19" i="15"/>
  <c r="F45" i="14"/>
  <c r="L45" i="14" s="1"/>
  <c r="R45" i="14" s="1"/>
  <c r="X45" i="14" s="1"/>
  <c r="AD45" i="14" s="1"/>
  <c r="C25" i="15"/>
  <c r="J25" i="15" s="1"/>
  <c r="E58" i="14" s="1"/>
  <c r="K58" i="14" s="1"/>
  <c r="Q58" i="14" s="1"/>
  <c r="W58" i="14" s="1"/>
  <c r="AC58" i="14" s="1"/>
  <c r="C26" i="15"/>
  <c r="J26" i="15" s="1"/>
  <c r="E59" i="14" s="1"/>
  <c r="K59" i="14" s="1"/>
  <c r="Q59" i="14" s="1"/>
  <c r="W59" i="14" s="1"/>
  <c r="AC59" i="14" s="1"/>
  <c r="C27" i="15"/>
  <c r="J27" i="15" s="1"/>
  <c r="E60" i="14" s="1"/>
  <c r="K60" i="14" s="1"/>
  <c r="Q60" i="14" s="1"/>
  <c r="W60" i="14" s="1"/>
  <c r="AC60" i="14" s="1"/>
  <c r="C22" i="15"/>
  <c r="J22" i="15" s="1"/>
  <c r="E55" i="14" s="1"/>
  <c r="K55" i="14" s="1"/>
  <c r="Q55" i="14" s="1"/>
  <c r="W55" i="14" s="1"/>
  <c r="AC55" i="14" s="1"/>
  <c r="C24" i="15"/>
  <c r="J24" i="15" s="1"/>
  <c r="E57" i="14" s="1"/>
  <c r="K57" i="14" s="1"/>
  <c r="Q57" i="14" s="1"/>
  <c r="W57" i="14" s="1"/>
  <c r="AC57" i="14" s="1"/>
  <c r="J21" i="15"/>
  <c r="C23" i="15"/>
  <c r="J23" i="15" s="1"/>
  <c r="E56" i="14" s="1"/>
  <c r="K56" i="14" s="1"/>
  <c r="Q56" i="14" s="1"/>
  <c r="W56" i="14" s="1"/>
  <c r="AC56" i="14" s="1"/>
  <c r="N19" i="15"/>
  <c r="I45" i="14"/>
  <c r="O45" i="14" s="1"/>
  <c r="U45" i="14" s="1"/>
  <c r="AA45" i="14" s="1"/>
  <c r="AG45" i="14" s="1"/>
  <c r="L36" i="14"/>
  <c r="L64" i="14" s="1"/>
  <c r="J20" i="13"/>
  <c r="J17" i="13"/>
  <c r="J18" i="13"/>
  <c r="C42" i="6"/>
  <c r="C44" i="6" s="1"/>
  <c r="F62" i="3"/>
  <c r="P62" i="3" s="1"/>
  <c r="O62" i="3"/>
  <c r="G76" i="4"/>
  <c r="AC74" i="4"/>
  <c r="D61" i="23" s="1"/>
  <c r="G28" i="1"/>
  <c r="I28" i="1" s="1"/>
  <c r="R59" i="3"/>
  <c r="E60" i="4" l="1"/>
  <c r="E61" i="4" s="1"/>
  <c r="E97" i="4"/>
  <c r="E96" i="4" s="1"/>
  <c r="AC85" i="4"/>
  <c r="D72" i="23" s="1"/>
  <c r="P80" i="4"/>
  <c r="C67" i="23" s="1"/>
  <c r="K93" i="4"/>
  <c r="BP91" i="4"/>
  <c r="G78" i="23" s="1"/>
  <c r="W72" i="4"/>
  <c r="X72" i="4" s="1"/>
  <c r="Y72" i="4" s="1"/>
  <c r="Z72" i="4" s="1"/>
  <c r="AA72" i="4" s="1"/>
  <c r="AB72" i="4" s="1"/>
  <c r="AD72" i="4" s="1"/>
  <c r="AI85" i="4"/>
  <c r="AJ85" i="4" s="1"/>
  <c r="AK85" i="4" s="1"/>
  <c r="AL85" i="4" s="1"/>
  <c r="AM85" i="4" s="1"/>
  <c r="AN85" i="4" s="1"/>
  <c r="AO85" i="4" s="1"/>
  <c r="BJ84" i="4"/>
  <c r="T54" i="4"/>
  <c r="T56" i="4"/>
  <c r="H92" i="4"/>
  <c r="G93" i="4"/>
  <c r="U19" i="4"/>
  <c r="U21" i="4"/>
  <c r="BJ85" i="4"/>
  <c r="BK85" i="4" s="1"/>
  <c r="BL85" i="4" s="1"/>
  <c r="BM85" i="4" s="1"/>
  <c r="BN85" i="4" s="1"/>
  <c r="BO85" i="4" s="1"/>
  <c r="AC92" i="4"/>
  <c r="D79" i="23" s="1"/>
  <c r="AP73" i="4"/>
  <c r="E60" i="23" s="1"/>
  <c r="H60" i="23" s="1"/>
  <c r="BP75" i="4"/>
  <c r="G62" i="23" s="1"/>
  <c r="BP82" i="4"/>
  <c r="T80" i="4"/>
  <c r="U80" i="4" s="1"/>
  <c r="C72" i="23"/>
  <c r="G56" i="23"/>
  <c r="O7" i="20"/>
  <c r="N43" i="3"/>
  <c r="BP69" i="4"/>
  <c r="O16" i="20"/>
  <c r="O17" i="20" s="1"/>
  <c r="S6" i="20"/>
  <c r="G17" i="20"/>
  <c r="G22" i="20"/>
  <c r="O21" i="20"/>
  <c r="O22" i="20" s="1"/>
  <c r="K21" i="20"/>
  <c r="K22" i="20" s="1"/>
  <c r="L7" i="20"/>
  <c r="O12" i="20"/>
  <c r="K12" i="20"/>
  <c r="L11" i="20"/>
  <c r="K17" i="20"/>
  <c r="L16" i="20"/>
  <c r="R16" i="20" s="1"/>
  <c r="P21" i="17"/>
  <c r="P19" i="17"/>
  <c r="P20" i="17"/>
  <c r="C19" i="14"/>
  <c r="C19" i="13"/>
  <c r="O28" i="1"/>
  <c r="M13" i="16"/>
  <c r="M12" i="16"/>
  <c r="M15" i="16" s="1"/>
  <c r="M16" i="16" s="1"/>
  <c r="AW6" i="17"/>
  <c r="AW8" i="17" s="1"/>
  <c r="AW6" i="18"/>
  <c r="AW8" i="18" s="1"/>
  <c r="AW8" i="16"/>
  <c r="Q17" i="13"/>
  <c r="Q19" i="13"/>
  <c r="Q20" i="13"/>
  <c r="Q18" i="13"/>
  <c r="C45" i="6"/>
  <c r="E45" i="6" s="1"/>
  <c r="I52" i="14"/>
  <c r="N30" i="15"/>
  <c r="I16" i="16"/>
  <c r="I12" i="16"/>
  <c r="I15" i="16" s="1"/>
  <c r="I13" i="16"/>
  <c r="K61" i="3"/>
  <c r="K72" i="3"/>
  <c r="L69" i="3"/>
  <c r="Q69" i="3"/>
  <c r="Q72" i="3" s="1"/>
  <c r="AQ6" i="18"/>
  <c r="AQ6" i="17"/>
  <c r="BC6" i="16"/>
  <c r="AQ8" i="16"/>
  <c r="AD6" i="18"/>
  <c r="AD6" i="17"/>
  <c r="AD8" i="16"/>
  <c r="AP6" i="16"/>
  <c r="K6" i="18"/>
  <c r="K8" i="18" s="1"/>
  <c r="K6" i="17"/>
  <c r="K8" i="17" s="1"/>
  <c r="K8" i="16"/>
  <c r="BI6" i="17"/>
  <c r="BI8" i="17" s="1"/>
  <c r="BI6" i="18"/>
  <c r="BI8" i="18" s="1"/>
  <c r="BI8" i="16"/>
  <c r="AZ6" i="18"/>
  <c r="AZ8" i="18" s="1"/>
  <c r="AZ8" i="16"/>
  <c r="AZ6" i="17"/>
  <c r="AZ8" i="17" s="1"/>
  <c r="R50" i="3"/>
  <c r="H47" i="3"/>
  <c r="G55" i="3"/>
  <c r="E17" i="13"/>
  <c r="E18" i="13"/>
  <c r="E19" i="13"/>
  <c r="E20" i="13"/>
  <c r="M54" i="3"/>
  <c r="J51" i="3"/>
  <c r="AN6" i="18"/>
  <c r="AN8" i="18" s="1"/>
  <c r="AN8" i="16"/>
  <c r="AN6" i="17"/>
  <c r="AN8" i="17" s="1"/>
  <c r="AI6" i="18"/>
  <c r="AI8" i="18" s="1"/>
  <c r="AI6" i="17"/>
  <c r="AI8" i="17" s="1"/>
  <c r="AI8" i="16"/>
  <c r="Q49" i="3"/>
  <c r="M90" i="4"/>
  <c r="L93" i="4"/>
  <c r="O19" i="15"/>
  <c r="E52" i="14"/>
  <c r="J23" i="3"/>
  <c r="K31" i="3" s="1"/>
  <c r="K9" i="3"/>
  <c r="G52" i="14"/>
  <c r="N28" i="15"/>
  <c r="I61" i="14" s="1"/>
  <c r="O61" i="14" s="1"/>
  <c r="U61" i="14" s="1"/>
  <c r="AA61" i="14" s="1"/>
  <c r="AG61" i="14" s="1"/>
  <c r="I54" i="14"/>
  <c r="O54" i="14" s="1"/>
  <c r="U54" i="14" s="1"/>
  <c r="AA54" i="14" s="1"/>
  <c r="AG54" i="14" s="1"/>
  <c r="BD6" i="18"/>
  <c r="BD6" i="17"/>
  <c r="BP6" i="16"/>
  <c r="BD8" i="16"/>
  <c r="U6" i="18"/>
  <c r="U8" i="18" s="1"/>
  <c r="U6" i="17"/>
  <c r="U8" i="17" s="1"/>
  <c r="U8" i="16"/>
  <c r="AU6" i="18"/>
  <c r="AU8" i="18" s="1"/>
  <c r="AU6" i="17"/>
  <c r="AU8" i="17" s="1"/>
  <c r="AU8" i="16"/>
  <c r="AX6" i="18"/>
  <c r="AX8" i="18" s="1"/>
  <c r="AX6" i="17"/>
  <c r="AX8" i="17" s="1"/>
  <c r="AX8" i="16"/>
  <c r="H26" i="6"/>
  <c r="J26" i="6" s="1"/>
  <c r="H57" i="4"/>
  <c r="H97" i="4" s="1"/>
  <c r="H22" i="4"/>
  <c r="D170" i="4" s="1"/>
  <c r="S64" i="3"/>
  <c r="J31" i="3"/>
  <c r="G6" i="18"/>
  <c r="G6" i="17"/>
  <c r="P6" i="16"/>
  <c r="G8" i="16"/>
  <c r="W6" i="18"/>
  <c r="W8" i="18" s="1"/>
  <c r="W6" i="17"/>
  <c r="W8" i="17" s="1"/>
  <c r="W8" i="16"/>
  <c r="BL6" i="18"/>
  <c r="BL8" i="18" s="1"/>
  <c r="BL8" i="16"/>
  <c r="BL6" i="17"/>
  <c r="BL8" i="17" s="1"/>
  <c r="Q6" i="18"/>
  <c r="AC6" i="16"/>
  <c r="Q8" i="16"/>
  <c r="Q6" i="17"/>
  <c r="AG6" i="18"/>
  <c r="AG8" i="18" s="1"/>
  <c r="AG6" i="17"/>
  <c r="AG8" i="17" s="1"/>
  <c r="AG8" i="16"/>
  <c r="BG6" i="18"/>
  <c r="BG8" i="18" s="1"/>
  <c r="BG6" i="17"/>
  <c r="BG8" i="17" s="1"/>
  <c r="BG8" i="16"/>
  <c r="BJ6" i="18"/>
  <c r="BJ8" i="18" s="1"/>
  <c r="BJ8" i="16"/>
  <c r="BJ6" i="17"/>
  <c r="BJ8" i="17" s="1"/>
  <c r="K22" i="3"/>
  <c r="L30" i="3" s="1"/>
  <c r="L8" i="3"/>
  <c r="H52" i="14"/>
  <c r="M30" i="15"/>
  <c r="I16" i="17"/>
  <c r="I13" i="17"/>
  <c r="I12" i="17"/>
  <c r="I15" i="17" s="1"/>
  <c r="J28" i="15"/>
  <c r="J30" i="15" s="1"/>
  <c r="E54" i="14"/>
  <c r="K54" i="14" s="1"/>
  <c r="Q54" i="14" s="1"/>
  <c r="W54" i="14" s="1"/>
  <c r="AC54" i="14" s="1"/>
  <c r="H6" i="18"/>
  <c r="H8" i="18" s="1"/>
  <c r="H6" i="17"/>
  <c r="H8" i="17" s="1"/>
  <c r="H8" i="16"/>
  <c r="K16" i="3"/>
  <c r="K20" i="3" s="1"/>
  <c r="L14" i="3"/>
  <c r="G5" i="11"/>
  <c r="G6" i="11"/>
  <c r="G7" i="11" s="1"/>
  <c r="F10" i="11"/>
  <c r="F12" i="11" s="1"/>
  <c r="F16" i="11" s="1"/>
  <c r="F19" i="11" s="1"/>
  <c r="S50" i="3"/>
  <c r="BM6" i="18"/>
  <c r="BM8" i="18" s="1"/>
  <c r="BM8" i="16"/>
  <c r="BM6" i="17"/>
  <c r="BM8" i="17" s="1"/>
  <c r="AS6" i="18"/>
  <c r="AS8" i="18" s="1"/>
  <c r="AS6" i="17"/>
  <c r="AS8" i="17" s="1"/>
  <c r="AS8" i="16"/>
  <c r="X6" i="18"/>
  <c r="X8" i="18" s="1"/>
  <c r="X6" i="17"/>
  <c r="X8" i="17" s="1"/>
  <c r="X8" i="16"/>
  <c r="O6" i="18"/>
  <c r="O8" i="18" s="1"/>
  <c r="O6" i="17"/>
  <c r="O8" i="17" s="1"/>
  <c r="O8" i="16"/>
  <c r="L29" i="3"/>
  <c r="R52" i="3"/>
  <c r="S52" i="3"/>
  <c r="K30" i="3"/>
  <c r="H60" i="3"/>
  <c r="G66" i="3"/>
  <c r="W81" i="4"/>
  <c r="M13" i="17"/>
  <c r="M12" i="17"/>
  <c r="M15" i="17" s="1"/>
  <c r="M16" i="17" s="1"/>
  <c r="BA6" i="18"/>
  <c r="BA8" i="18" s="1"/>
  <c r="BA6" i="17"/>
  <c r="BA8" i="17" s="1"/>
  <c r="BA8" i="16"/>
  <c r="BF6" i="18"/>
  <c r="BF8" i="18" s="1"/>
  <c r="BF6" i="17"/>
  <c r="BF8" i="17" s="1"/>
  <c r="BF8" i="16"/>
  <c r="BB6" i="18"/>
  <c r="BB8" i="18" s="1"/>
  <c r="BB6" i="17"/>
  <c r="BB8" i="17" s="1"/>
  <c r="BB8" i="16"/>
  <c r="Z6" i="18"/>
  <c r="Z8" i="18" s="1"/>
  <c r="Z8" i="16"/>
  <c r="Z6" i="17"/>
  <c r="Z8" i="17" s="1"/>
  <c r="BN6" i="18"/>
  <c r="BN8" i="18" s="1"/>
  <c r="BN6" i="17"/>
  <c r="BN8" i="17" s="1"/>
  <c r="BN8" i="16"/>
  <c r="S65" i="3"/>
  <c r="S53" i="3"/>
  <c r="N6" i="18"/>
  <c r="N8" i="18" s="1"/>
  <c r="N8" i="16"/>
  <c r="N6" i="17"/>
  <c r="N8" i="17" s="1"/>
  <c r="L6" i="18"/>
  <c r="L8" i="18" s="1"/>
  <c r="L6" i="17"/>
  <c r="L8" i="17" s="1"/>
  <c r="L8" i="16"/>
  <c r="S6" i="18"/>
  <c r="S8" i="18" s="1"/>
  <c r="S6" i="17"/>
  <c r="S8" i="17" s="1"/>
  <c r="S8" i="16"/>
  <c r="BE6" i="18"/>
  <c r="BE8" i="18" s="1"/>
  <c r="BE6" i="17"/>
  <c r="BE8" i="17" s="1"/>
  <c r="BE8" i="16"/>
  <c r="AJ6" i="18"/>
  <c r="AJ8" i="18" s="1"/>
  <c r="AJ6" i="17"/>
  <c r="AJ8" i="17" s="1"/>
  <c r="AJ8" i="16"/>
  <c r="AA6" i="18"/>
  <c r="AA8" i="18" s="1"/>
  <c r="AA6" i="17"/>
  <c r="AA8" i="17" s="1"/>
  <c r="AA8" i="16"/>
  <c r="M7" i="3"/>
  <c r="L21" i="3"/>
  <c r="M29" i="3" s="1"/>
  <c r="D9" i="9"/>
  <c r="C25" i="6"/>
  <c r="E14" i="3"/>
  <c r="P60" i="3"/>
  <c r="P66" i="3" s="1"/>
  <c r="S62" i="3"/>
  <c r="H25" i="6"/>
  <c r="H14" i="3"/>
  <c r="AV6" i="18"/>
  <c r="AV8" i="18" s="1"/>
  <c r="AV6" i="17"/>
  <c r="AV8" i="17" s="1"/>
  <c r="AV8" i="16"/>
  <c r="F66" i="3"/>
  <c r="R6" i="18"/>
  <c r="R8" i="18" s="1"/>
  <c r="R6" i="17"/>
  <c r="R8" i="17" s="1"/>
  <c r="R8" i="16"/>
  <c r="M49" i="3"/>
  <c r="N49" i="3" s="1"/>
  <c r="I12" i="18"/>
  <c r="I14" i="18" s="1"/>
  <c r="I15" i="18" s="1"/>
  <c r="R53" i="3"/>
  <c r="AL6" i="18"/>
  <c r="AL8" i="18" s="1"/>
  <c r="AL8" i="16"/>
  <c r="AL6" i="17"/>
  <c r="AL8" i="17" s="1"/>
  <c r="G20" i="3"/>
  <c r="G24" i="3" s="1"/>
  <c r="G10" i="3"/>
  <c r="S6" i="3"/>
  <c r="P6" i="3"/>
  <c r="P10" i="3" s="1"/>
  <c r="R65" i="3"/>
  <c r="BO6" i="18"/>
  <c r="BO8" i="18" s="1"/>
  <c r="BO6" i="17"/>
  <c r="BO8" i="17" s="1"/>
  <c r="BO8" i="16"/>
  <c r="J6" i="18"/>
  <c r="J8" i="18" s="1"/>
  <c r="J6" i="17"/>
  <c r="J8" i="17" s="1"/>
  <c r="J8" i="16"/>
  <c r="AM6" i="18"/>
  <c r="AM8" i="18" s="1"/>
  <c r="AM6" i="17"/>
  <c r="AM8" i="17" s="1"/>
  <c r="AM8" i="16"/>
  <c r="V24" i="6"/>
  <c r="V25" i="6" s="1"/>
  <c r="H76" i="4"/>
  <c r="AO6" i="18"/>
  <c r="AO8" i="18" s="1"/>
  <c r="AO6" i="17"/>
  <c r="AO8" i="17" s="1"/>
  <c r="AO8" i="16"/>
  <c r="T6" i="18"/>
  <c r="T8" i="18" s="1"/>
  <c r="T6" i="17"/>
  <c r="T8" i="17" s="1"/>
  <c r="T8" i="16"/>
  <c r="V6" i="18"/>
  <c r="V8" i="18" s="1"/>
  <c r="V6" i="17"/>
  <c r="V8" i="17" s="1"/>
  <c r="V8" i="16"/>
  <c r="BH6" i="18"/>
  <c r="BH8" i="18" s="1"/>
  <c r="BH6" i="17"/>
  <c r="BH8" i="17" s="1"/>
  <c r="BH8" i="16"/>
  <c r="AY6" i="18"/>
  <c r="AY8" i="18" s="1"/>
  <c r="AY6" i="17"/>
  <c r="AY8" i="17" s="1"/>
  <c r="AY8" i="16"/>
  <c r="D28" i="6"/>
  <c r="L28" i="15"/>
  <c r="G61" i="14" s="1"/>
  <c r="M61" i="14" s="1"/>
  <c r="S61" i="14" s="1"/>
  <c r="Y61" i="14" s="1"/>
  <c r="AE61" i="14" s="1"/>
  <c r="G54" i="14"/>
  <c r="M54" i="14" s="1"/>
  <c r="S54" i="14" s="1"/>
  <c r="Y54" i="14" s="1"/>
  <c r="AE54" i="14" s="1"/>
  <c r="R63" i="3"/>
  <c r="K58" i="3"/>
  <c r="Q58" i="3" s="1"/>
  <c r="F52" i="14"/>
  <c r="AR6" i="18"/>
  <c r="AR8" i="18" s="1"/>
  <c r="AR6" i="17"/>
  <c r="AR8" i="17" s="1"/>
  <c r="AR8" i="16"/>
  <c r="AE6" i="18"/>
  <c r="AE8" i="18" s="1"/>
  <c r="AE6" i="17"/>
  <c r="AE8" i="17" s="1"/>
  <c r="AE8" i="16"/>
  <c r="AH6" i="18"/>
  <c r="AH8" i="18" s="1"/>
  <c r="AH6" i="17"/>
  <c r="AH8" i="17" s="1"/>
  <c r="AH8" i="16"/>
  <c r="Y6" i="17"/>
  <c r="Y8" i="17" s="1"/>
  <c r="Y8" i="16"/>
  <c r="Y6" i="18"/>
  <c r="Y8" i="18" s="1"/>
  <c r="BK6" i="18"/>
  <c r="BK8" i="18" s="1"/>
  <c r="BK6" i="17"/>
  <c r="BK8" i="17" s="1"/>
  <c r="BK8" i="16"/>
  <c r="N70" i="3"/>
  <c r="R70" i="3" s="1"/>
  <c r="S70" i="3"/>
  <c r="K28" i="15"/>
  <c r="F61" i="14" s="1"/>
  <c r="L61" i="14" s="1"/>
  <c r="R61" i="14" s="1"/>
  <c r="X61" i="14" s="1"/>
  <c r="AD61" i="14" s="1"/>
  <c r="F54" i="14"/>
  <c r="L54" i="14" s="1"/>
  <c r="R54" i="14" s="1"/>
  <c r="X54" i="14" s="1"/>
  <c r="AD54" i="14" s="1"/>
  <c r="C43" i="6"/>
  <c r="V2" i="6" s="1"/>
  <c r="V22" i="6" s="1"/>
  <c r="M12" i="18"/>
  <c r="M14" i="18" s="1"/>
  <c r="M15" i="18" s="1"/>
  <c r="M43" i="3"/>
  <c r="AF6" i="18"/>
  <c r="AF8" i="18" s="1"/>
  <c r="AF6" i="17"/>
  <c r="AF8" i="17" s="1"/>
  <c r="AF8" i="16"/>
  <c r="AT6" i="18"/>
  <c r="AT8" i="18" s="1"/>
  <c r="AT6" i="17"/>
  <c r="AT8" i="17" s="1"/>
  <c r="AT8" i="16"/>
  <c r="AK6" i="17"/>
  <c r="AK8" i="17" s="1"/>
  <c r="AK8" i="16"/>
  <c r="AK6" i="18"/>
  <c r="AK8" i="18" s="1"/>
  <c r="AB8" i="16"/>
  <c r="AB6" i="18"/>
  <c r="AB8" i="18" s="1"/>
  <c r="AB6" i="17"/>
  <c r="AB8" i="17" s="1"/>
  <c r="J20" i="3"/>
  <c r="J24" i="3" s="1"/>
  <c r="J10" i="3"/>
  <c r="Q6" i="3"/>
  <c r="K79" i="4"/>
  <c r="J87" i="4"/>
  <c r="AC72" i="4" l="1"/>
  <c r="I92" i="4"/>
  <c r="AE72" i="4"/>
  <c r="BK84" i="4"/>
  <c r="AP85" i="4"/>
  <c r="E72" i="23" s="1"/>
  <c r="D59" i="23"/>
  <c r="J31" i="20"/>
  <c r="U56" i="4"/>
  <c r="U54" i="4"/>
  <c r="P11" i="20"/>
  <c r="P12" i="20" s="1"/>
  <c r="R11" i="20"/>
  <c r="R12" i="20" s="1"/>
  <c r="H93" i="4"/>
  <c r="BP85" i="4"/>
  <c r="G72" i="23" s="1"/>
  <c r="V21" i="4"/>
  <c r="V56" i="4" s="1"/>
  <c r="V19" i="4"/>
  <c r="V54" i="4" s="1"/>
  <c r="I22" i="4"/>
  <c r="D171" i="4" s="1"/>
  <c r="BQ73" i="4"/>
  <c r="V80" i="4"/>
  <c r="BQ82" i="4"/>
  <c r="G69" i="23"/>
  <c r="H69" i="23" s="1"/>
  <c r="AP75" i="4"/>
  <c r="E62" i="23" s="1"/>
  <c r="AC75" i="4"/>
  <c r="B10" i="9"/>
  <c r="H60" i="4"/>
  <c r="H61" i="4" s="1"/>
  <c r="J28" i="20"/>
  <c r="P16" i="20"/>
  <c r="R17" i="20" s="1"/>
  <c r="J27" i="20"/>
  <c r="J30" i="20"/>
  <c r="J29" i="20"/>
  <c r="P7" i="20"/>
  <c r="L21" i="20"/>
  <c r="R21" i="20" s="1"/>
  <c r="L17" i="20"/>
  <c r="L12" i="20"/>
  <c r="M22" i="16"/>
  <c r="M20" i="16"/>
  <c r="M25" i="16" s="1"/>
  <c r="M21" i="16"/>
  <c r="M19" i="16"/>
  <c r="I20" i="18"/>
  <c r="I18" i="18"/>
  <c r="I21" i="18"/>
  <c r="I19" i="18"/>
  <c r="I24" i="18" s="1"/>
  <c r="M19" i="17"/>
  <c r="M21" i="17"/>
  <c r="M20" i="17"/>
  <c r="M24" i="17" s="1"/>
  <c r="M21" i="18"/>
  <c r="M19" i="18"/>
  <c r="M24" i="18" s="1"/>
  <c r="M20" i="18"/>
  <c r="M18" i="18"/>
  <c r="N12" i="17"/>
  <c r="N15" i="17" s="1"/>
  <c r="N16" i="17" s="1"/>
  <c r="N13" i="17"/>
  <c r="Y13" i="17"/>
  <c r="Y12" i="17"/>
  <c r="Y15" i="17" s="1"/>
  <c r="Y16" i="17" s="1"/>
  <c r="AO13" i="16"/>
  <c r="AO12" i="16"/>
  <c r="AO15" i="16" s="1"/>
  <c r="AO16" i="16" s="1"/>
  <c r="AF12" i="18"/>
  <c r="AF14" i="18" s="1"/>
  <c r="AF15" i="18" s="1"/>
  <c r="L52" i="14"/>
  <c r="F63" i="14"/>
  <c r="F65" i="14" s="1"/>
  <c r="F69" i="14" s="1"/>
  <c r="F39" i="14" s="1"/>
  <c r="F41" i="14" s="1"/>
  <c r="BF12" i="18"/>
  <c r="BF14" i="18" s="1"/>
  <c r="BF15" i="18" s="1"/>
  <c r="AB12" i="18"/>
  <c r="AB14" i="18" s="1"/>
  <c r="AB15" i="18" s="1"/>
  <c r="BC91" i="4"/>
  <c r="AR12" i="16"/>
  <c r="AR15" i="16" s="1"/>
  <c r="AR16" i="16" s="1"/>
  <c r="AR13" i="16"/>
  <c r="V13" i="17"/>
  <c r="V12" i="17"/>
  <c r="V15" i="17" s="1"/>
  <c r="V16" i="17"/>
  <c r="R13" i="16"/>
  <c r="R12" i="16"/>
  <c r="R15" i="16" s="1"/>
  <c r="R16" i="16" s="1"/>
  <c r="BE12" i="16"/>
  <c r="BE15" i="16" s="1"/>
  <c r="BE16" i="16" s="1"/>
  <c r="BE13" i="16"/>
  <c r="BB12" i="16"/>
  <c r="BB15" i="16" s="1"/>
  <c r="BB16" i="16" s="1"/>
  <c r="BB13" i="16"/>
  <c r="AS12" i="18"/>
  <c r="AS14" i="18" s="1"/>
  <c r="AS15" i="18" s="1"/>
  <c r="H13" i="17"/>
  <c r="H12" i="17"/>
  <c r="H15" i="17" s="1"/>
  <c r="H16" i="17" s="1"/>
  <c r="AK16" i="16"/>
  <c r="AK13" i="16"/>
  <c r="AK12" i="16"/>
  <c r="AK15" i="16" s="1"/>
  <c r="BK12" i="17"/>
  <c r="BK15" i="17" s="1"/>
  <c r="BK16" i="17"/>
  <c r="BK13" i="17"/>
  <c r="AR13" i="17"/>
  <c r="AR12" i="17"/>
  <c r="AR15" i="17" s="1"/>
  <c r="AR16" i="17" s="1"/>
  <c r="V12" i="18"/>
  <c r="V14" i="18" s="1"/>
  <c r="V15" i="18" s="1"/>
  <c r="BO15" i="18"/>
  <c r="BO12" i="18"/>
  <c r="BO14" i="18" s="1"/>
  <c r="R49" i="3"/>
  <c r="R16" i="17"/>
  <c r="R12" i="17"/>
  <c r="R15" i="17" s="1"/>
  <c r="R13" i="17"/>
  <c r="BE16" i="17"/>
  <c r="BE13" i="17"/>
  <c r="BE12" i="17"/>
  <c r="BE15" i="17" s="1"/>
  <c r="L13" i="16"/>
  <c r="L12" i="16"/>
  <c r="L15" i="16" s="1"/>
  <c r="L16" i="16" s="1"/>
  <c r="BB12" i="17"/>
  <c r="BB15" i="17" s="1"/>
  <c r="BB16" i="17" s="1"/>
  <c r="BB13" i="17"/>
  <c r="BM16" i="17"/>
  <c r="BM12" i="17"/>
  <c r="BM15" i="17" s="1"/>
  <c r="BM13" i="17"/>
  <c r="H15" i="18"/>
  <c r="H12" i="18"/>
  <c r="H14" i="18" s="1"/>
  <c r="AG12" i="18"/>
  <c r="AG14" i="18" s="1"/>
  <c r="AG15" i="18" s="1"/>
  <c r="AU15" i="18"/>
  <c r="AU12" i="18"/>
  <c r="AU14" i="18" s="1"/>
  <c r="BQ6" i="16"/>
  <c r="BQ8" i="16" s="1"/>
  <c r="AT12" i="16"/>
  <c r="AT15" i="16" s="1"/>
  <c r="AT16" i="16" s="1"/>
  <c r="AT13" i="16"/>
  <c r="S16" i="17"/>
  <c r="S12" i="17"/>
  <c r="S15" i="17" s="1"/>
  <c r="S13" i="17"/>
  <c r="AT12" i="18"/>
  <c r="AT14" i="18" s="1"/>
  <c r="AT15" i="18" s="1"/>
  <c r="AM13" i="16"/>
  <c r="AM12" i="16"/>
  <c r="AM15" i="16" s="1"/>
  <c r="AM16" i="16" s="1"/>
  <c r="S15" i="18"/>
  <c r="S12" i="18"/>
  <c r="S14" i="18" s="1"/>
  <c r="N52" i="14"/>
  <c r="H63" i="14"/>
  <c r="H65" i="14" s="1"/>
  <c r="H69" i="14" s="1"/>
  <c r="H39" i="14" s="1"/>
  <c r="H41" i="14" s="1"/>
  <c r="X16" i="17"/>
  <c r="X13" i="17"/>
  <c r="X12" i="17"/>
  <c r="X15" i="17" s="1"/>
  <c r="BH12" i="18"/>
  <c r="BH14" i="18" s="1"/>
  <c r="BH15" i="18" s="1"/>
  <c r="AK12" i="18"/>
  <c r="AK14" i="18" s="1"/>
  <c r="AK15" i="18" s="1"/>
  <c r="BK16" i="16"/>
  <c r="BK13" i="16"/>
  <c r="BK12" i="16"/>
  <c r="BK15" i="16" s="1"/>
  <c r="L79" i="4"/>
  <c r="K87" i="4"/>
  <c r="AK16" i="17"/>
  <c r="AK13" i="17"/>
  <c r="AK12" i="17"/>
  <c r="AK15" i="17" s="1"/>
  <c r="BK15" i="18"/>
  <c r="BK12" i="18"/>
  <c r="BK14" i="18" s="1"/>
  <c r="AR15" i="18"/>
  <c r="AR12" i="18"/>
  <c r="AR14" i="18" s="1"/>
  <c r="T13" i="16"/>
  <c r="T12" i="16"/>
  <c r="T15" i="16" s="1"/>
  <c r="T16" i="16" s="1"/>
  <c r="I76" i="4"/>
  <c r="G35" i="3"/>
  <c r="G36" i="3" s="1"/>
  <c r="R12" i="18"/>
  <c r="R14" i="18" s="1"/>
  <c r="R15" i="18" s="1"/>
  <c r="BE12" i="18"/>
  <c r="BE14" i="18" s="1"/>
  <c r="BE15" i="18" s="1"/>
  <c r="L13" i="17"/>
  <c r="L12" i="17"/>
  <c r="L15" i="17" s="1"/>
  <c r="L16" i="17" s="1"/>
  <c r="BB12" i="18"/>
  <c r="BB14" i="18" s="1"/>
  <c r="BB15" i="18" s="1"/>
  <c r="BM13" i="16"/>
  <c r="BM12" i="16"/>
  <c r="BM15" i="16" s="1"/>
  <c r="BM16" i="16" s="1"/>
  <c r="G8" i="11"/>
  <c r="AC6" i="17"/>
  <c r="Q8" i="17"/>
  <c r="U12" i="16"/>
  <c r="U15" i="16" s="1"/>
  <c r="U16" i="16" s="1"/>
  <c r="U13" i="16"/>
  <c r="K52" i="14"/>
  <c r="K51" i="3"/>
  <c r="AD12" i="16"/>
  <c r="AD15" i="16" s="1"/>
  <c r="AD16" i="16"/>
  <c r="AD13" i="16"/>
  <c r="AP13" i="16" s="1"/>
  <c r="AP8" i="16"/>
  <c r="L61" i="3"/>
  <c r="Q61" i="3"/>
  <c r="BC84" i="4"/>
  <c r="S13" i="16"/>
  <c r="S12" i="16"/>
  <c r="S15" i="16" s="1"/>
  <c r="S16" i="16" s="1"/>
  <c r="L12" i="18"/>
  <c r="L14" i="18" s="1"/>
  <c r="L15" i="18" s="1"/>
  <c r="BM15" i="18"/>
  <c r="BM12" i="18"/>
  <c r="BM14" i="18" s="1"/>
  <c r="Q13" i="16"/>
  <c r="AC13" i="16" s="1"/>
  <c r="Q12" i="16"/>
  <c r="Q15" i="16" s="1"/>
  <c r="Q16" i="16" s="1"/>
  <c r="AC8" i="16"/>
  <c r="BL16" i="17"/>
  <c r="BL12" i="17"/>
  <c r="BL15" i="17" s="1"/>
  <c r="BL13" i="17"/>
  <c r="U13" i="17"/>
  <c r="U12" i="17"/>
  <c r="U15" i="17" s="1"/>
  <c r="U16" i="17" s="1"/>
  <c r="AI13" i="16"/>
  <c r="AI12" i="16"/>
  <c r="AI15" i="16" s="1"/>
  <c r="AI16" i="16" s="1"/>
  <c r="AD8" i="17"/>
  <c r="AP6" i="17"/>
  <c r="N19" i="13"/>
  <c r="K19" i="13"/>
  <c r="J19" i="13"/>
  <c r="M19" i="13"/>
  <c r="L19" i="13"/>
  <c r="H19" i="13"/>
  <c r="I19" i="13"/>
  <c r="F19" i="13"/>
  <c r="P19" i="13"/>
  <c r="O19" i="13"/>
  <c r="G19" i="13"/>
  <c r="I60" i="3"/>
  <c r="H66" i="3"/>
  <c r="O16" i="16"/>
  <c r="O13" i="16"/>
  <c r="O12" i="16"/>
  <c r="O15" i="16" s="1"/>
  <c r="BL13" i="16"/>
  <c r="BL12" i="16"/>
  <c r="BL15" i="16" s="1"/>
  <c r="BL16" i="16" s="1"/>
  <c r="U15" i="18"/>
  <c r="U12" i="18"/>
  <c r="U14" i="18" s="1"/>
  <c r="AI13" i="17"/>
  <c r="AI12" i="17"/>
  <c r="AI15" i="17" s="1"/>
  <c r="AI16" i="17" s="1"/>
  <c r="AZ12" i="17"/>
  <c r="AZ15" i="17" s="1"/>
  <c r="AZ16" i="17" s="1"/>
  <c r="AZ13" i="17"/>
  <c r="AP6" i="18"/>
  <c r="AD8" i="18"/>
  <c r="G19" i="14"/>
  <c r="F19" i="14"/>
  <c r="E19" i="14"/>
  <c r="BD12" i="16"/>
  <c r="BD15" i="16" s="1"/>
  <c r="BD16" i="16" s="1"/>
  <c r="BD13" i="16"/>
  <c r="BP13" i="16" s="1"/>
  <c r="BP8" i="16"/>
  <c r="AI12" i="18"/>
  <c r="AI14" i="18" s="1"/>
  <c r="AI15" i="18" s="1"/>
  <c r="N54" i="3"/>
  <c r="R54" i="3" s="1"/>
  <c r="S54" i="3"/>
  <c r="I47" i="3"/>
  <c r="H55" i="3"/>
  <c r="P47" i="3"/>
  <c r="P55" i="3" s="1"/>
  <c r="AZ16" i="16"/>
  <c r="AZ13" i="16"/>
  <c r="AZ12" i="16"/>
  <c r="AZ15" i="16" s="1"/>
  <c r="AQ16" i="16"/>
  <c r="AQ12" i="16"/>
  <c r="AQ15" i="16" s="1"/>
  <c r="BC8" i="16"/>
  <c r="AQ13" i="16"/>
  <c r="BC13" i="16" s="1"/>
  <c r="I19" i="16"/>
  <c r="I22" i="16"/>
  <c r="I20" i="16"/>
  <c r="I25" i="16" s="1"/>
  <c r="I21" i="16"/>
  <c r="AY16" i="16"/>
  <c r="AY13" i="16"/>
  <c r="AY12" i="16"/>
  <c r="AY15" i="16" s="1"/>
  <c r="O12" i="17"/>
  <c r="O15" i="17" s="1"/>
  <c r="O16" i="17" s="1"/>
  <c r="O13" i="17"/>
  <c r="BJ12" i="17"/>
  <c r="BJ15" i="17" s="1"/>
  <c r="BJ16" i="17" s="1"/>
  <c r="BJ13" i="17"/>
  <c r="BL15" i="18"/>
  <c r="BL12" i="18"/>
  <c r="BL14" i="18" s="1"/>
  <c r="AY12" i="17"/>
  <c r="AY15" i="17" s="1"/>
  <c r="AY16" i="17"/>
  <c r="AY13" i="17"/>
  <c r="AO16" i="17"/>
  <c r="AO12" i="17"/>
  <c r="AO15" i="17" s="1"/>
  <c r="AO13" i="17"/>
  <c r="AM16" i="17"/>
  <c r="AM12" i="17"/>
  <c r="AM15" i="17" s="1"/>
  <c r="AM13" i="17"/>
  <c r="AL12" i="18"/>
  <c r="AL14" i="18" s="1"/>
  <c r="AL15" i="18" s="1"/>
  <c r="G42" i="4"/>
  <c r="F42" i="4"/>
  <c r="D99" i="4" s="1"/>
  <c r="AA16" i="16"/>
  <c r="AA13" i="16"/>
  <c r="AA12" i="16"/>
  <c r="AA15" i="16" s="1"/>
  <c r="N15" i="18"/>
  <c r="N12" i="18"/>
  <c r="N14" i="18" s="1"/>
  <c r="BN15" i="18"/>
  <c r="BN12" i="18"/>
  <c r="BN14" i="18" s="1"/>
  <c r="BF12" i="16"/>
  <c r="BF15" i="16" s="1"/>
  <c r="BF13" i="16"/>
  <c r="BF16" i="16"/>
  <c r="O12" i="18"/>
  <c r="O14" i="18" s="1"/>
  <c r="O15" i="18" s="1"/>
  <c r="BJ16" i="16"/>
  <c r="BJ13" i="16"/>
  <c r="BJ12" i="16"/>
  <c r="BJ15" i="16" s="1"/>
  <c r="W16" i="16"/>
  <c r="W12" i="16"/>
  <c r="W15" i="16" s="1"/>
  <c r="W13" i="16"/>
  <c r="Q31" i="3"/>
  <c r="J32" i="3"/>
  <c r="J35" i="3" s="1"/>
  <c r="J36" i="3" s="1"/>
  <c r="N90" i="4"/>
  <c r="M93" i="4"/>
  <c r="AZ12" i="18"/>
  <c r="AZ14" i="18" s="1"/>
  <c r="AZ15" i="18" s="1"/>
  <c r="AW13" i="16"/>
  <c r="AW12" i="16"/>
  <c r="AW15" i="16" s="1"/>
  <c r="AW16" i="16" s="1"/>
  <c r="Y16" i="16"/>
  <c r="Y13" i="16"/>
  <c r="Y12" i="16"/>
  <c r="Y15" i="16" s="1"/>
  <c r="BN12" i="16"/>
  <c r="BN15" i="16" s="1"/>
  <c r="BN13" i="16"/>
  <c r="BN16" i="16"/>
  <c r="H16" i="3"/>
  <c r="I14" i="3"/>
  <c r="M21" i="3"/>
  <c r="N7" i="3"/>
  <c r="S7" i="3" s="1"/>
  <c r="AF12" i="16"/>
  <c r="AF15" i="16" s="1"/>
  <c r="AF16" i="16" s="1"/>
  <c r="AF13" i="16"/>
  <c r="AH12" i="16"/>
  <c r="AH15" i="16" s="1"/>
  <c r="AH16" i="16" s="1"/>
  <c r="AH13" i="16"/>
  <c r="AF13" i="17"/>
  <c r="AF16" i="17"/>
  <c r="AF12" i="17"/>
  <c r="AF15" i="17" s="1"/>
  <c r="AH13" i="17"/>
  <c r="AH12" i="17"/>
  <c r="AH15" i="17" s="1"/>
  <c r="AH16" i="17" s="1"/>
  <c r="K30" i="15"/>
  <c r="O30" i="15" s="1"/>
  <c r="S49" i="3"/>
  <c r="AY12" i="18"/>
  <c r="AY14" i="18" s="1"/>
  <c r="AY15" i="18" s="1"/>
  <c r="AO15" i="18"/>
  <c r="AO12" i="18"/>
  <c r="AO14" i="18" s="1"/>
  <c r="AM12" i="18"/>
  <c r="AM14" i="18" s="1"/>
  <c r="AM15" i="18" s="1"/>
  <c r="AV13" i="16"/>
  <c r="AV12" i="16"/>
  <c r="AV15" i="16" s="1"/>
  <c r="AV16" i="16" s="1"/>
  <c r="AA12" i="17"/>
  <c r="AA15" i="17" s="1"/>
  <c r="AA16" i="17" s="1"/>
  <c r="AA13" i="17"/>
  <c r="BF13" i="17"/>
  <c r="BF16" i="17"/>
  <c r="BF12" i="17"/>
  <c r="BF15" i="17" s="1"/>
  <c r="X16" i="16"/>
  <c r="X13" i="16"/>
  <c r="X12" i="16"/>
  <c r="X15" i="16" s="1"/>
  <c r="BJ12" i="18"/>
  <c r="BJ14" i="18" s="1"/>
  <c r="BJ15" i="18" s="1"/>
  <c r="W16" i="17"/>
  <c r="W13" i="17"/>
  <c r="W12" i="17"/>
  <c r="W15" i="17" s="1"/>
  <c r="BD8" i="17"/>
  <c r="BP6" i="17"/>
  <c r="L30" i="15"/>
  <c r="BI13" i="16"/>
  <c r="BI12" i="16"/>
  <c r="BI15" i="16" s="1"/>
  <c r="BI16" i="16" s="1"/>
  <c r="AQ8" i="17"/>
  <c r="BC6" i="17"/>
  <c r="O52" i="14"/>
  <c r="I63" i="14"/>
  <c r="I65" i="14" s="1"/>
  <c r="I69" i="14" s="1"/>
  <c r="I39" i="14" s="1"/>
  <c r="I41" i="14" s="1"/>
  <c r="AW15" i="18"/>
  <c r="AW12" i="18"/>
  <c r="AW14" i="18" s="1"/>
  <c r="AL13" i="16"/>
  <c r="AL12" i="16"/>
  <c r="AL15" i="16" s="1"/>
  <c r="AL16" i="16" s="1"/>
  <c r="X81" i="4"/>
  <c r="AH12" i="18"/>
  <c r="AH14" i="18" s="1"/>
  <c r="AH15" i="18" s="1"/>
  <c r="AV13" i="17"/>
  <c r="AV12" i="17"/>
  <c r="AV15" i="17" s="1"/>
  <c r="AV16" i="17" s="1"/>
  <c r="AA15" i="18"/>
  <c r="AA12" i="18"/>
  <c r="AA14" i="18" s="1"/>
  <c r="O28" i="15"/>
  <c r="E61" i="14"/>
  <c r="K61" i="14" s="1"/>
  <c r="Q61" i="14" s="1"/>
  <c r="W61" i="14" s="1"/>
  <c r="AC61" i="14" s="1"/>
  <c r="BG13" i="16"/>
  <c r="BG12" i="16"/>
  <c r="BG15" i="16" s="1"/>
  <c r="BG16" i="16" s="1"/>
  <c r="W15" i="18"/>
  <c r="W12" i="18"/>
  <c r="W14" i="18" s="1"/>
  <c r="AX13" i="16"/>
  <c r="AX12" i="16"/>
  <c r="AX15" i="16" s="1"/>
  <c r="AX16" i="16" s="1"/>
  <c r="BP6" i="18"/>
  <c r="BD8" i="18"/>
  <c r="G63" i="14"/>
  <c r="G65" i="14" s="1"/>
  <c r="G69" i="14" s="1"/>
  <c r="G39" i="14" s="1"/>
  <c r="G41" i="14" s="1"/>
  <c r="M52" i="14"/>
  <c r="BI15" i="18"/>
  <c r="BI12" i="18"/>
  <c r="BI14" i="18" s="1"/>
  <c r="BC6" i="18"/>
  <c r="AQ8" i="18"/>
  <c r="AW13" i="17"/>
  <c r="AW12" i="17"/>
  <c r="AW15" i="17" s="1"/>
  <c r="AW16" i="17" s="1"/>
  <c r="AB16" i="17"/>
  <c r="AB12" i="17"/>
  <c r="AB15" i="17" s="1"/>
  <c r="AB13" i="17"/>
  <c r="R43" i="3"/>
  <c r="AE12" i="16"/>
  <c r="AE15" i="16" s="1"/>
  <c r="AE16" i="16" s="1"/>
  <c r="AE13" i="16"/>
  <c r="BH16" i="17"/>
  <c r="BH13" i="17"/>
  <c r="BH12" i="17"/>
  <c r="BH15" i="17" s="1"/>
  <c r="J13" i="17"/>
  <c r="J12" i="17"/>
  <c r="J15" i="17" s="1"/>
  <c r="J16" i="17" s="1"/>
  <c r="AV12" i="18"/>
  <c r="AV14" i="18" s="1"/>
  <c r="AV15" i="18" s="1"/>
  <c r="AJ16" i="16"/>
  <c r="AJ13" i="16"/>
  <c r="AJ12" i="16"/>
  <c r="AJ15" i="16" s="1"/>
  <c r="Z12" i="17"/>
  <c r="Z15" i="17" s="1"/>
  <c r="Z16" i="17" s="1"/>
  <c r="Z13" i="17"/>
  <c r="BA16" i="16"/>
  <c r="BA13" i="16"/>
  <c r="BA12" i="16"/>
  <c r="BA15" i="16" s="1"/>
  <c r="X15" i="18"/>
  <c r="X12" i="18"/>
  <c r="X14" i="18" s="1"/>
  <c r="L16" i="3"/>
  <c r="L20" i="3" s="1"/>
  <c r="R14" i="3"/>
  <c r="R16" i="3" s="1"/>
  <c r="L22" i="3"/>
  <c r="M8" i="3"/>
  <c r="BG16" i="17"/>
  <c r="BG13" i="17"/>
  <c r="BG12" i="17"/>
  <c r="BG15" i="17" s="1"/>
  <c r="G12" i="16"/>
  <c r="G15" i="16" s="1"/>
  <c r="G16" i="16" s="1"/>
  <c r="G13" i="16"/>
  <c r="P13" i="16" s="1"/>
  <c r="P8" i="16"/>
  <c r="AX12" i="17"/>
  <c r="AX15" i="17" s="1"/>
  <c r="AX16" i="17" s="1"/>
  <c r="AX13" i="17"/>
  <c r="AN16" i="17"/>
  <c r="AN12" i="17"/>
  <c r="AN15" i="17" s="1"/>
  <c r="AN13" i="17"/>
  <c r="BI16" i="17"/>
  <c r="BI13" i="17"/>
  <c r="BI12" i="17"/>
  <c r="BI15" i="17" s="1"/>
  <c r="N28" i="3"/>
  <c r="BG12" i="18"/>
  <c r="BG14" i="18" s="1"/>
  <c r="BG15" i="18" s="1"/>
  <c r="AX15" i="18"/>
  <c r="AX12" i="18"/>
  <c r="AX14" i="18" s="1"/>
  <c r="AN16" i="16"/>
  <c r="AN13" i="16"/>
  <c r="AN12" i="16"/>
  <c r="AN15" i="16" s="1"/>
  <c r="K13" i="16"/>
  <c r="K12" i="16"/>
  <c r="K15" i="16" s="1"/>
  <c r="K16" i="16" s="1"/>
  <c r="P24" i="17"/>
  <c r="T13" i="17"/>
  <c r="T16" i="17"/>
  <c r="T12" i="17"/>
  <c r="T15" i="17" s="1"/>
  <c r="T12" i="18"/>
  <c r="T14" i="18" s="1"/>
  <c r="T15" i="18" s="1"/>
  <c r="BN16" i="17"/>
  <c r="BN12" i="17"/>
  <c r="BN15" i="17" s="1"/>
  <c r="BN13" i="17"/>
  <c r="BH13" i="16"/>
  <c r="BH12" i="16"/>
  <c r="BH15" i="16" s="1"/>
  <c r="BH16" i="16" s="1"/>
  <c r="J16" i="16"/>
  <c r="J12" i="16"/>
  <c r="J15" i="16" s="1"/>
  <c r="J13" i="16"/>
  <c r="AJ16" i="17"/>
  <c r="AJ13" i="17"/>
  <c r="AJ12" i="17"/>
  <c r="AJ15" i="17" s="1"/>
  <c r="Z13" i="16"/>
  <c r="Z12" i="16"/>
  <c r="Z15" i="16" s="1"/>
  <c r="Z16" i="16" s="1"/>
  <c r="BA12" i="17"/>
  <c r="BA15" i="17" s="1"/>
  <c r="BA16" i="17" s="1"/>
  <c r="BA13" i="17"/>
  <c r="Q30" i="3"/>
  <c r="AS16" i="16"/>
  <c r="AS12" i="16"/>
  <c r="AS15" i="16" s="1"/>
  <c r="AS13" i="16"/>
  <c r="AB13" i="16"/>
  <c r="AB12" i="16"/>
  <c r="AB15" i="16" s="1"/>
  <c r="AB16" i="16" s="1"/>
  <c r="AE12" i="18"/>
  <c r="AE14" i="18" s="1"/>
  <c r="AE15" i="18" s="1"/>
  <c r="V12" i="16"/>
  <c r="V15" i="16" s="1"/>
  <c r="V13" i="16"/>
  <c r="V16" i="16"/>
  <c r="BO12" i="16"/>
  <c r="BO15" i="16" s="1"/>
  <c r="BO16" i="16" s="1"/>
  <c r="BO13" i="16"/>
  <c r="AJ15" i="18"/>
  <c r="AJ12" i="18"/>
  <c r="AJ14" i="18" s="1"/>
  <c r="Z15" i="18"/>
  <c r="Z12" i="18"/>
  <c r="Z14" i="18" s="1"/>
  <c r="BA15" i="18"/>
  <c r="BA12" i="18"/>
  <c r="BA14" i="18" s="1"/>
  <c r="AS13" i="17"/>
  <c r="AS12" i="17"/>
  <c r="AS15" i="17" s="1"/>
  <c r="AS16" i="17" s="1"/>
  <c r="H12" i="16"/>
  <c r="H15" i="16" s="1"/>
  <c r="H16" i="16" s="1"/>
  <c r="H13" i="16"/>
  <c r="AG12" i="16"/>
  <c r="AG15" i="16" s="1"/>
  <c r="AG16" i="16" s="1"/>
  <c r="AG13" i="16"/>
  <c r="G8" i="17"/>
  <c r="P6" i="17"/>
  <c r="AU16" i="16"/>
  <c r="AU13" i="16"/>
  <c r="AU12" i="16"/>
  <c r="AU15" i="16" s="1"/>
  <c r="AN12" i="18"/>
  <c r="AN14" i="18" s="1"/>
  <c r="AN15" i="18" s="1"/>
  <c r="K16" i="17"/>
  <c r="K13" i="17"/>
  <c r="K12" i="17"/>
  <c r="K15" i="17" s="1"/>
  <c r="M69" i="3"/>
  <c r="L72" i="3"/>
  <c r="Y15" i="18"/>
  <c r="Y12" i="18"/>
  <c r="Y14" i="18" s="1"/>
  <c r="AT13" i="17"/>
  <c r="AT12" i="17"/>
  <c r="AT15" i="17" s="1"/>
  <c r="AT16" i="17" s="1"/>
  <c r="L58" i="3"/>
  <c r="AL16" i="17"/>
  <c r="AL12" i="17"/>
  <c r="AL15" i="17" s="1"/>
  <c r="AL13" i="17"/>
  <c r="S14" i="3"/>
  <c r="S16" i="3" s="1"/>
  <c r="O14" i="3"/>
  <c r="O16" i="3" s="1"/>
  <c r="E16" i="3"/>
  <c r="F14" i="3"/>
  <c r="N13" i="16"/>
  <c r="N12" i="16"/>
  <c r="N15" i="16" s="1"/>
  <c r="N16" i="16" s="1"/>
  <c r="AC6" i="18"/>
  <c r="Q8" i="18"/>
  <c r="AE12" i="17"/>
  <c r="AE15" i="17" s="1"/>
  <c r="AE16" i="17" s="1"/>
  <c r="AE13" i="17"/>
  <c r="J12" i="18"/>
  <c r="J14" i="18" s="1"/>
  <c r="J15" i="18" s="1"/>
  <c r="BO12" i="17"/>
  <c r="BO15" i="17" s="1"/>
  <c r="BO16" i="17" s="1"/>
  <c r="BO13" i="17"/>
  <c r="I19" i="17"/>
  <c r="I20" i="17"/>
  <c r="I24" i="17" s="1"/>
  <c r="I21" i="17"/>
  <c r="AG13" i="17"/>
  <c r="AG12" i="17"/>
  <c r="AG15" i="17" s="1"/>
  <c r="AG16" i="17" s="1"/>
  <c r="P6" i="18"/>
  <c r="G8" i="18"/>
  <c r="AU13" i="17"/>
  <c r="AU12" i="17"/>
  <c r="AU15" i="17" s="1"/>
  <c r="AU16" i="17" s="1"/>
  <c r="K23" i="3"/>
  <c r="K24" i="3" s="1"/>
  <c r="L9" i="3"/>
  <c r="K10" i="3"/>
  <c r="Q9" i="3"/>
  <c r="Q10" i="3" s="1"/>
  <c r="K12" i="18"/>
  <c r="K14" i="18" s="1"/>
  <c r="K15" i="18" s="1"/>
  <c r="H72" i="23" l="1"/>
  <c r="AF72" i="4"/>
  <c r="BL84" i="4"/>
  <c r="I93" i="4"/>
  <c r="P92" i="4"/>
  <c r="C79" i="23" s="1"/>
  <c r="S11" i="20"/>
  <c r="S12" i="20" s="1"/>
  <c r="BQ85" i="4"/>
  <c r="P26" i="4"/>
  <c r="C22" i="23" s="1"/>
  <c r="L16" i="23" s="1"/>
  <c r="W19" i="4"/>
  <c r="W54" i="4" s="1"/>
  <c r="W21" i="4"/>
  <c r="I42" i="4"/>
  <c r="S16" i="20"/>
  <c r="S17" i="20" s="1"/>
  <c r="P17" i="20"/>
  <c r="AP74" i="4"/>
  <c r="E61" i="23" s="1"/>
  <c r="W80" i="4"/>
  <c r="F71" i="23"/>
  <c r="BQ91" i="4"/>
  <c r="F78" i="23"/>
  <c r="H78" i="23" s="1"/>
  <c r="D62" i="23"/>
  <c r="BQ75" i="4"/>
  <c r="B11" i="9"/>
  <c r="L22" i="20"/>
  <c r="I28" i="20" s="1"/>
  <c r="P21" i="20"/>
  <c r="S7" i="20"/>
  <c r="R7" i="20"/>
  <c r="BG18" i="18"/>
  <c r="BG21" i="18"/>
  <c r="BG19" i="18"/>
  <c r="BG24" i="18" s="1"/>
  <c r="BG20" i="18"/>
  <c r="L20" i="17"/>
  <c r="L24" i="17" s="1"/>
  <c r="L21" i="17"/>
  <c r="L19" i="17"/>
  <c r="BH22" i="16"/>
  <c r="BH20" i="16"/>
  <c r="BH25" i="16" s="1"/>
  <c r="BH19" i="16"/>
  <c r="BH21" i="16"/>
  <c r="K22" i="16"/>
  <c r="K20" i="16"/>
  <c r="K25" i="16" s="1"/>
  <c r="K21" i="16"/>
  <c r="K19" i="16"/>
  <c r="AX20" i="17"/>
  <c r="AX24" i="17" s="1"/>
  <c r="AX21" i="17"/>
  <c r="AX19" i="17"/>
  <c r="BE19" i="16"/>
  <c r="BE22" i="16"/>
  <c r="BE20" i="16"/>
  <c r="BE25" i="16" s="1"/>
  <c r="BE21" i="16"/>
  <c r="AB19" i="18"/>
  <c r="AB24" i="18" s="1"/>
  <c r="AB20" i="18"/>
  <c r="AB18" i="18"/>
  <c r="AB21" i="18"/>
  <c r="BO21" i="17"/>
  <c r="BO19" i="17"/>
  <c r="BO20" i="17"/>
  <c r="BO24" i="17" s="1"/>
  <c r="N20" i="17"/>
  <c r="N24" i="17" s="1"/>
  <c r="N21" i="17"/>
  <c r="N19" i="17"/>
  <c r="U19" i="17"/>
  <c r="U20" i="17"/>
  <c r="U24" i="17" s="1"/>
  <c r="U21" i="17"/>
  <c r="BO21" i="16"/>
  <c r="BO19" i="16"/>
  <c r="BO22" i="16"/>
  <c r="BO20" i="16"/>
  <c r="BO25" i="16" s="1"/>
  <c r="AH20" i="17"/>
  <c r="AH24" i="17" s="1"/>
  <c r="AH19" i="17"/>
  <c r="AH21" i="17"/>
  <c r="BE20" i="18"/>
  <c r="BE18" i="18"/>
  <c r="BE21" i="18"/>
  <c r="BE19" i="18"/>
  <c r="BE24" i="18" s="1"/>
  <c r="T21" i="16"/>
  <c r="T19" i="16"/>
  <c r="T22" i="16"/>
  <c r="T20" i="16"/>
  <c r="T25" i="16" s="1"/>
  <c r="R21" i="16"/>
  <c r="R19" i="16"/>
  <c r="R22" i="16"/>
  <c r="R20" i="16"/>
  <c r="R25" i="16" s="1"/>
  <c r="BF20" i="18"/>
  <c r="BF18" i="18"/>
  <c r="BF21" i="18"/>
  <c r="BF19" i="18"/>
  <c r="BF24" i="18" s="1"/>
  <c r="BB19" i="17"/>
  <c r="BB21" i="17"/>
  <c r="BB20" i="17"/>
  <c r="BB24" i="17" s="1"/>
  <c r="AW22" i="16"/>
  <c r="AW20" i="16"/>
  <c r="AW25" i="16" s="1"/>
  <c r="AW21" i="16"/>
  <c r="AW19" i="16"/>
  <c r="L18" i="18"/>
  <c r="L21" i="18"/>
  <c r="L19" i="18"/>
  <c r="L24" i="18" s="1"/>
  <c r="L20" i="18"/>
  <c r="AK21" i="18"/>
  <c r="AK19" i="18"/>
  <c r="AK24" i="18" s="1"/>
  <c r="AK20" i="18"/>
  <c r="AK18" i="18"/>
  <c r="H21" i="17"/>
  <c r="H20" i="17"/>
  <c r="H24" i="17" s="1"/>
  <c r="H19" i="17"/>
  <c r="O21" i="18"/>
  <c r="O19" i="18"/>
  <c r="O24" i="18" s="1"/>
  <c r="O20" i="18"/>
  <c r="O18" i="18"/>
  <c r="J20" i="18"/>
  <c r="J18" i="18"/>
  <c r="J21" i="18"/>
  <c r="J19" i="18"/>
  <c r="J24" i="18" s="1"/>
  <c r="AM20" i="16"/>
  <c r="AM25" i="16" s="1"/>
  <c r="AM21" i="16"/>
  <c r="AM19" i="16"/>
  <c r="AM22" i="16"/>
  <c r="G21" i="16"/>
  <c r="G19" i="16"/>
  <c r="G22" i="16"/>
  <c r="G20" i="16"/>
  <c r="G25" i="16" s="1"/>
  <c r="BJ20" i="17"/>
  <c r="BJ24" i="17" s="1"/>
  <c r="BJ21" i="17"/>
  <c r="BJ19" i="17"/>
  <c r="BH18" i="18"/>
  <c r="BH21" i="18"/>
  <c r="BH19" i="18"/>
  <c r="BH24" i="18" s="1"/>
  <c r="BH20" i="18"/>
  <c r="AT20" i="18"/>
  <c r="AT18" i="18"/>
  <c r="AT21" i="18"/>
  <c r="AT19" i="18"/>
  <c r="AT24" i="18" s="1"/>
  <c r="AG20" i="18"/>
  <c r="AG18" i="18"/>
  <c r="AG21" i="18"/>
  <c r="AG19" i="18"/>
  <c r="AG24" i="18" s="1"/>
  <c r="L22" i="16"/>
  <c r="L20" i="16"/>
  <c r="L25" i="16" s="1"/>
  <c r="L19" i="16"/>
  <c r="L21" i="16"/>
  <c r="AF20" i="18"/>
  <c r="AF18" i="18"/>
  <c r="AF21" i="18"/>
  <c r="AF19" i="18"/>
  <c r="AF24" i="18" s="1"/>
  <c r="AY21" i="18"/>
  <c r="AY19" i="18"/>
  <c r="AY24" i="18" s="1"/>
  <c r="AY20" i="18"/>
  <c r="AY18" i="18"/>
  <c r="AG19" i="17"/>
  <c r="AG20" i="17"/>
  <c r="AG24" i="17" s="1"/>
  <c r="AG21" i="17"/>
  <c r="AV18" i="18"/>
  <c r="AV21" i="18"/>
  <c r="AV19" i="18"/>
  <c r="AV24" i="18" s="1"/>
  <c r="AV20" i="18"/>
  <c r="AL21" i="18"/>
  <c r="AL19" i="18"/>
  <c r="AL24" i="18" s="1"/>
  <c r="AL20" i="18"/>
  <c r="AL18" i="18"/>
  <c r="AH20" i="18"/>
  <c r="AH18" i="18"/>
  <c r="AH21" i="18"/>
  <c r="AH19" i="18"/>
  <c r="AH24" i="18" s="1"/>
  <c r="AE21" i="17"/>
  <c r="AE19" i="17"/>
  <c r="AE20" i="17"/>
  <c r="AE24" i="17" s="1"/>
  <c r="AG19" i="16"/>
  <c r="AG22" i="16"/>
  <c r="AG20" i="16"/>
  <c r="AG25" i="16" s="1"/>
  <c r="AG21" i="16"/>
  <c r="BG22" i="16"/>
  <c r="BG20" i="16"/>
  <c r="BG25" i="16" s="1"/>
  <c r="BG21" i="16"/>
  <c r="BG19" i="16"/>
  <c r="S21" i="16"/>
  <c r="S19" i="16"/>
  <c r="S22" i="16"/>
  <c r="S20" i="16"/>
  <c r="S25" i="16" s="1"/>
  <c r="K18" i="18"/>
  <c r="K21" i="18"/>
  <c r="K19" i="18"/>
  <c r="K24" i="18" s="1"/>
  <c r="K20" i="18"/>
  <c r="J20" i="17"/>
  <c r="J24" i="17" s="1"/>
  <c r="J19" i="17"/>
  <c r="J21" i="17"/>
  <c r="AV22" i="16"/>
  <c r="AV20" i="16"/>
  <c r="AV25" i="16" s="1"/>
  <c r="AV19" i="16"/>
  <c r="AV21" i="16"/>
  <c r="AZ19" i="18"/>
  <c r="AZ24" i="18" s="1"/>
  <c r="AZ20" i="18"/>
  <c r="AZ18" i="18"/>
  <c r="AZ21" i="18"/>
  <c r="V20" i="18"/>
  <c r="V18" i="18"/>
  <c r="V21" i="18"/>
  <c r="V19" i="18"/>
  <c r="V24" i="18" s="1"/>
  <c r="AS20" i="18"/>
  <c r="AS18" i="18"/>
  <c r="AS21" i="18"/>
  <c r="AS19" i="18"/>
  <c r="AS24" i="18" s="1"/>
  <c r="AO21" i="16"/>
  <c r="AO19" i="16"/>
  <c r="AO20" i="16"/>
  <c r="AO25" i="16" s="1"/>
  <c r="AO22" i="16"/>
  <c r="AV20" i="17"/>
  <c r="AV24" i="17" s="1"/>
  <c r="AV21" i="17"/>
  <c r="AV19" i="17"/>
  <c r="AE21" i="16"/>
  <c r="AE19" i="16"/>
  <c r="AE22" i="16"/>
  <c r="AE20" i="16"/>
  <c r="AE25" i="16" s="1"/>
  <c r="AU20" i="17"/>
  <c r="AU24" i="17" s="1"/>
  <c r="AU19" i="17"/>
  <c r="AU21" i="17"/>
  <c r="AT20" i="17"/>
  <c r="AT24" i="17" s="1"/>
  <c r="AT19" i="17"/>
  <c r="AT21" i="17"/>
  <c r="H21" i="16"/>
  <c r="H19" i="16"/>
  <c r="H22" i="16"/>
  <c r="H20" i="16"/>
  <c r="H25" i="16" s="1"/>
  <c r="BI22" i="16"/>
  <c r="BI20" i="16"/>
  <c r="BI25" i="16" s="1"/>
  <c r="BI21" i="16"/>
  <c r="BI19" i="16"/>
  <c r="AA21" i="17"/>
  <c r="AA20" i="17"/>
  <c r="AA24" i="17" s="1"/>
  <c r="AA19" i="17"/>
  <c r="O21" i="17"/>
  <c r="O20" i="17"/>
  <c r="O24" i="17" s="1"/>
  <c r="O19" i="17"/>
  <c r="AI18" i="18"/>
  <c r="AI21" i="18"/>
  <c r="AI19" i="18"/>
  <c r="AI24" i="18" s="1"/>
  <c r="AI20" i="18"/>
  <c r="BL21" i="16"/>
  <c r="BL19" i="16"/>
  <c r="BL20" i="16"/>
  <c r="BL25" i="16" s="1"/>
  <c r="BL22" i="16"/>
  <c r="U19" i="16"/>
  <c r="U22" i="16"/>
  <c r="U20" i="16"/>
  <c r="U25" i="16" s="1"/>
  <c r="U21" i="16"/>
  <c r="BB21" i="16"/>
  <c r="BB19" i="16"/>
  <c r="BB22" i="16"/>
  <c r="BB20" i="16"/>
  <c r="BB25" i="16" s="1"/>
  <c r="AN19" i="18"/>
  <c r="AN24" i="18" s="1"/>
  <c r="AN20" i="18"/>
  <c r="AN18" i="18"/>
  <c r="AN21" i="18"/>
  <c r="AH19" i="16"/>
  <c r="AH22" i="16"/>
  <c r="AH20" i="16"/>
  <c r="AH25" i="16" s="1"/>
  <c r="AH21" i="16"/>
  <c r="AZ21" i="17"/>
  <c r="AZ19" i="17"/>
  <c r="AZ20" i="17"/>
  <c r="AZ24" i="17" s="1"/>
  <c r="Q21" i="16"/>
  <c r="Q19" i="16"/>
  <c r="Q20" i="16"/>
  <c r="Q25" i="16" s="1"/>
  <c r="Q22" i="16"/>
  <c r="AR21" i="17"/>
  <c r="AR20" i="17"/>
  <c r="AR24" i="17" s="1"/>
  <c r="AR19" i="17"/>
  <c r="AR21" i="16"/>
  <c r="AR19" i="16"/>
  <c r="AR22" i="16"/>
  <c r="AR20" i="16"/>
  <c r="AR25" i="16" s="1"/>
  <c r="Y21" i="17"/>
  <c r="Y19" i="17"/>
  <c r="Y20" i="17"/>
  <c r="Y24" i="17" s="1"/>
  <c r="BB20" i="18"/>
  <c r="BB18" i="18"/>
  <c r="BB21" i="18"/>
  <c r="BB19" i="18"/>
  <c r="BB24" i="18" s="1"/>
  <c r="AS19" i="17"/>
  <c r="AS20" i="17"/>
  <c r="AS24" i="17" s="1"/>
  <c r="AS21" i="17"/>
  <c r="T20" i="18"/>
  <c r="T18" i="18"/>
  <c r="T21" i="18"/>
  <c r="T19" i="18"/>
  <c r="T24" i="18" s="1"/>
  <c r="AM21" i="18"/>
  <c r="AM19" i="18"/>
  <c r="AM24" i="18" s="1"/>
  <c r="AM20" i="18"/>
  <c r="AM18" i="18"/>
  <c r="N20" i="16"/>
  <c r="N25" i="16" s="1"/>
  <c r="N21" i="16"/>
  <c r="N19" i="16"/>
  <c r="N22" i="16"/>
  <c r="AE20" i="18"/>
  <c r="AE18" i="18"/>
  <c r="AE21" i="18"/>
  <c r="AE19" i="18"/>
  <c r="AE24" i="18" s="1"/>
  <c r="BA21" i="17"/>
  <c r="BA19" i="17"/>
  <c r="BA20" i="17"/>
  <c r="BA24" i="17" s="1"/>
  <c r="Z20" i="17"/>
  <c r="Z24" i="17" s="1"/>
  <c r="Z21" i="17"/>
  <c r="Z19" i="17"/>
  <c r="AW19" i="17"/>
  <c r="AW21" i="17"/>
  <c r="AW20" i="17"/>
  <c r="AW24" i="17" s="1"/>
  <c r="AL20" i="16"/>
  <c r="AL25" i="16" s="1"/>
  <c r="AL21" i="16"/>
  <c r="AL22" i="16"/>
  <c r="AL19" i="16"/>
  <c r="BJ21" i="18"/>
  <c r="BJ19" i="18"/>
  <c r="BJ24" i="18" s="1"/>
  <c r="BJ20" i="18"/>
  <c r="BJ18" i="18"/>
  <c r="AI20" i="17"/>
  <c r="AI24" i="17" s="1"/>
  <c r="AI19" i="17"/>
  <c r="AI21" i="17"/>
  <c r="BM21" i="16"/>
  <c r="BM19" i="16"/>
  <c r="BM20" i="16"/>
  <c r="BM25" i="16" s="1"/>
  <c r="BM22" i="16"/>
  <c r="R20" i="18"/>
  <c r="R18" i="18"/>
  <c r="R21" i="18"/>
  <c r="R19" i="18"/>
  <c r="R24" i="18" s="1"/>
  <c r="AB21" i="16"/>
  <c r="AB19" i="16"/>
  <c r="AB22" i="16"/>
  <c r="AB20" i="16"/>
  <c r="AB25" i="16" s="1"/>
  <c r="Z20" i="16"/>
  <c r="Z25" i="16" s="1"/>
  <c r="Z21" i="16"/>
  <c r="Z22" i="16"/>
  <c r="Z19" i="16"/>
  <c r="S8" i="3"/>
  <c r="AX20" i="16"/>
  <c r="AX25" i="16" s="1"/>
  <c r="AX21" i="16"/>
  <c r="AX22" i="16"/>
  <c r="AX19" i="16"/>
  <c r="AF21" i="16"/>
  <c r="AF19" i="16"/>
  <c r="AF22" i="16"/>
  <c r="AF20" i="16"/>
  <c r="AF25" i="16" s="1"/>
  <c r="BD21" i="16"/>
  <c r="BD19" i="16"/>
  <c r="BD22" i="16"/>
  <c r="BD20" i="16"/>
  <c r="BD25" i="16" s="1"/>
  <c r="AI22" i="16"/>
  <c r="AI20" i="16"/>
  <c r="AI25" i="16" s="1"/>
  <c r="AI19" i="16"/>
  <c r="AI21" i="16"/>
  <c r="AT19" i="16"/>
  <c r="AT22" i="16"/>
  <c r="AT20" i="16"/>
  <c r="AT25" i="16" s="1"/>
  <c r="AT21" i="16"/>
  <c r="G12" i="17"/>
  <c r="G15" i="17" s="1"/>
  <c r="G16" i="17" s="1"/>
  <c r="G13" i="17"/>
  <c r="BQ6" i="18"/>
  <c r="BQ8" i="18" s="1"/>
  <c r="AP12" i="16"/>
  <c r="AP15" i="16" s="1"/>
  <c r="AP16" i="16" s="1"/>
  <c r="R52" i="14"/>
  <c r="L63" i="14"/>
  <c r="L65" i="14" s="1"/>
  <c r="L69" i="14" s="1"/>
  <c r="L39" i="14" s="1"/>
  <c r="L41" i="14" s="1"/>
  <c r="M63" i="14"/>
  <c r="M65" i="14" s="1"/>
  <c r="M69" i="14" s="1"/>
  <c r="M39" i="14" s="1"/>
  <c r="M41" i="14" s="1"/>
  <c r="S52" i="14"/>
  <c r="M58" i="3"/>
  <c r="M30" i="3"/>
  <c r="AJ18" i="18"/>
  <c r="AJ21" i="18"/>
  <c r="AJ19" i="18"/>
  <c r="AJ24" i="18" s="1"/>
  <c r="AJ20" i="18"/>
  <c r="BK21" i="18"/>
  <c r="BK19" i="18"/>
  <c r="BK24" i="18" s="1"/>
  <c r="BK20" i="18"/>
  <c r="BK18" i="18"/>
  <c r="AL20" i="17"/>
  <c r="AL24" i="17" s="1"/>
  <c r="AL21" i="17"/>
  <c r="AL19" i="17"/>
  <c r="AJ20" i="17"/>
  <c r="AJ24" i="17" s="1"/>
  <c r="AJ21" i="17"/>
  <c r="AJ19" i="17"/>
  <c r="BN21" i="17"/>
  <c r="BN19" i="17"/>
  <c r="BN20" i="17"/>
  <c r="BN24" i="17" s="1"/>
  <c r="AN21" i="17"/>
  <c r="AN19" i="17"/>
  <c r="AN20" i="17"/>
  <c r="AN24" i="17" s="1"/>
  <c r="BI21" i="18"/>
  <c r="BI19" i="18"/>
  <c r="BI24" i="18" s="1"/>
  <c r="BI20" i="18"/>
  <c r="BI18" i="18"/>
  <c r="BD13" i="17"/>
  <c r="BP13" i="17" s="1"/>
  <c r="BP8" i="17"/>
  <c r="BD12" i="17"/>
  <c r="BD15" i="17" s="1"/>
  <c r="BD16" i="17" s="1"/>
  <c r="AM21" i="17"/>
  <c r="AM20" i="17"/>
  <c r="AM24" i="17" s="1"/>
  <c r="AM19" i="17"/>
  <c r="AQ21" i="16"/>
  <c r="AQ19" i="16"/>
  <c r="AQ22" i="16"/>
  <c r="AQ20" i="16"/>
  <c r="AQ25" i="16" s="1"/>
  <c r="BP12" i="16"/>
  <c r="BP15" i="16" s="1"/>
  <c r="BP16" i="16"/>
  <c r="O20" i="16"/>
  <c r="O25" i="16" s="1"/>
  <c r="O21" i="16"/>
  <c r="O19" i="16"/>
  <c r="O22" i="16"/>
  <c r="BQ13" i="16"/>
  <c r="Q12" i="17"/>
  <c r="Q15" i="17" s="1"/>
  <c r="Q16" i="17" s="1"/>
  <c r="Q13" i="17"/>
  <c r="AC13" i="17" s="1"/>
  <c r="AC8" i="17"/>
  <c r="BQ12" i="16"/>
  <c r="BQ15" i="16" s="1"/>
  <c r="BQ16" i="16" s="1"/>
  <c r="AN21" i="16"/>
  <c r="AN19" i="16"/>
  <c r="AN22" i="16"/>
  <c r="AN20" i="16"/>
  <c r="AN25" i="16" s="1"/>
  <c r="R28" i="3"/>
  <c r="AA20" i="16"/>
  <c r="AA25" i="16" s="1"/>
  <c r="AA21" i="16"/>
  <c r="AA19" i="16"/>
  <c r="AA22" i="16"/>
  <c r="AD21" i="16"/>
  <c r="AD19" i="16"/>
  <c r="AD22" i="16"/>
  <c r="AD20" i="16"/>
  <c r="AD25" i="16" s="1"/>
  <c r="W18" i="18"/>
  <c r="W21" i="18"/>
  <c r="W19" i="18"/>
  <c r="W24" i="18" s="1"/>
  <c r="W20" i="18"/>
  <c r="W20" i="17"/>
  <c r="W24" i="17" s="1"/>
  <c r="W19" i="17"/>
  <c r="W21" i="17"/>
  <c r="AF21" i="17"/>
  <c r="AF20" i="17"/>
  <c r="AF24" i="17" s="1"/>
  <c r="AF19" i="17"/>
  <c r="AW21" i="18"/>
  <c r="AW19" i="18"/>
  <c r="AW24" i="18" s="1"/>
  <c r="AW20" i="18"/>
  <c r="AW18" i="18"/>
  <c r="BN21" i="16"/>
  <c r="BN19" i="16"/>
  <c r="BN22" i="16"/>
  <c r="BN20" i="16"/>
  <c r="BN25" i="16" s="1"/>
  <c r="P14" i="3"/>
  <c r="P16" i="3" s="1"/>
  <c r="F16" i="3"/>
  <c r="O63" i="14"/>
  <c r="O65" i="14" s="1"/>
  <c r="O69" i="14" s="1"/>
  <c r="O39" i="14" s="1"/>
  <c r="O41" i="14" s="1"/>
  <c r="U52" i="14"/>
  <c r="J60" i="3"/>
  <c r="I66" i="3"/>
  <c r="H5" i="11"/>
  <c r="H6" i="11"/>
  <c r="H7" i="11" s="1"/>
  <c r="H8" i="11" s="1"/>
  <c r="G10" i="11"/>
  <c r="G12" i="11" s="1"/>
  <c r="G16" i="11" s="1"/>
  <c r="G19" i="11" s="1"/>
  <c r="G12" i="18"/>
  <c r="G14" i="18" s="1"/>
  <c r="G15" i="18" s="1"/>
  <c r="P8" i="18"/>
  <c r="E20" i="3"/>
  <c r="E35" i="3"/>
  <c r="Y21" i="18"/>
  <c r="Y19" i="18"/>
  <c r="Y24" i="18" s="1"/>
  <c r="Y20" i="18"/>
  <c r="Y18" i="18"/>
  <c r="BA19" i="18"/>
  <c r="BA24" i="18" s="1"/>
  <c r="BA20" i="18"/>
  <c r="BA18" i="18"/>
  <c r="BA21" i="18"/>
  <c r="AS19" i="16"/>
  <c r="AS22" i="16"/>
  <c r="AS20" i="16"/>
  <c r="AS25" i="16" s="1"/>
  <c r="AS21" i="16"/>
  <c r="AX21" i="18"/>
  <c r="AX19" i="18"/>
  <c r="AX24" i="18" s="1"/>
  <c r="AX20" i="18"/>
  <c r="AX18" i="18"/>
  <c r="X18" i="18"/>
  <c r="X21" i="18"/>
  <c r="X19" i="18"/>
  <c r="X24" i="18" s="1"/>
  <c r="X20" i="18"/>
  <c r="AJ22" i="16"/>
  <c r="AJ20" i="16"/>
  <c r="AJ25" i="16" s="1"/>
  <c r="AJ19" i="16"/>
  <c r="AJ21" i="16"/>
  <c r="AB21" i="17"/>
  <c r="AB19" i="17"/>
  <c r="AB20" i="17"/>
  <c r="AB24" i="17" s="1"/>
  <c r="AA21" i="18"/>
  <c r="AA19" i="18"/>
  <c r="AA24" i="18" s="1"/>
  <c r="AA20" i="18"/>
  <c r="AA18" i="18"/>
  <c r="G57" i="4"/>
  <c r="AO21" i="17"/>
  <c r="AO19" i="17"/>
  <c r="AO20" i="17"/>
  <c r="AO24" i="17" s="1"/>
  <c r="AZ21" i="16"/>
  <c r="AZ19" i="16"/>
  <c r="AZ20" i="16"/>
  <c r="AZ25" i="16" s="1"/>
  <c r="AZ22" i="16"/>
  <c r="BM19" i="18"/>
  <c r="BM24" i="18" s="1"/>
  <c r="BM20" i="18"/>
  <c r="BM18" i="18"/>
  <c r="BM21" i="18"/>
  <c r="D10" i="9"/>
  <c r="AK19" i="17"/>
  <c r="AK21" i="17"/>
  <c r="AK20" i="17"/>
  <c r="AK24" i="17" s="1"/>
  <c r="M9" i="3"/>
  <c r="L23" i="3"/>
  <c r="M31" i="3" s="1"/>
  <c r="L10" i="3"/>
  <c r="L31" i="3"/>
  <c r="AU22" i="16"/>
  <c r="AU20" i="16"/>
  <c r="AU25" i="16" s="1"/>
  <c r="AU21" i="16"/>
  <c r="AU19" i="16"/>
  <c r="J19" i="16"/>
  <c r="J22" i="16"/>
  <c r="J20" i="16"/>
  <c r="J25" i="16" s="1"/>
  <c r="J21" i="16"/>
  <c r="T21" i="17"/>
  <c r="T20" i="17"/>
  <c r="T24" i="17" s="1"/>
  <c r="T19" i="17"/>
  <c r="BI19" i="17"/>
  <c r="BI20" i="17"/>
  <c r="BI24" i="17" s="1"/>
  <c r="BI21" i="17"/>
  <c r="BH20" i="17"/>
  <c r="BH24" i="17" s="1"/>
  <c r="BH21" i="17"/>
  <c r="BH19" i="17"/>
  <c r="Y81" i="4"/>
  <c r="AQ12" i="17"/>
  <c r="AQ15" i="17" s="1"/>
  <c r="AQ16" i="17" s="1"/>
  <c r="AQ13" i="17"/>
  <c r="BC13" i="17" s="1"/>
  <c r="BC8" i="17"/>
  <c r="BF19" i="16"/>
  <c r="BF22" i="16"/>
  <c r="BF20" i="16"/>
  <c r="BF25" i="16" s="1"/>
  <c r="BF21" i="16"/>
  <c r="BQ6" i="17"/>
  <c r="BQ8" i="17" s="1"/>
  <c r="L51" i="3"/>
  <c r="Q51" i="3"/>
  <c r="J76" i="4"/>
  <c r="X20" i="17"/>
  <c r="X24" i="17" s="1"/>
  <c r="X21" i="17"/>
  <c r="X19" i="17"/>
  <c r="AU18" i="18"/>
  <c r="AU21" i="18"/>
  <c r="AU19" i="18"/>
  <c r="AU24" i="18" s="1"/>
  <c r="AU20" i="18"/>
  <c r="H20" i="18"/>
  <c r="H18" i="18"/>
  <c r="H21" i="18"/>
  <c r="H19" i="18"/>
  <c r="H24" i="18" s="1"/>
  <c r="R19" i="17"/>
  <c r="R21" i="17"/>
  <c r="R20" i="17"/>
  <c r="R24" i="17" s="1"/>
  <c r="BK21" i="17"/>
  <c r="BK20" i="17"/>
  <c r="BK24" i="17" s="1"/>
  <c r="BK19" i="17"/>
  <c r="AY21" i="17"/>
  <c r="AY20" i="17"/>
  <c r="AY24" i="17" s="1"/>
  <c r="AY19" i="17"/>
  <c r="AD12" i="17"/>
  <c r="AD15" i="17" s="1"/>
  <c r="AD16" i="17" s="1"/>
  <c r="AD13" i="17"/>
  <c r="AP13" i="17" s="1"/>
  <c r="BQ13" i="17" s="1"/>
  <c r="AP8" i="17"/>
  <c r="K63" i="14"/>
  <c r="K65" i="14" s="1"/>
  <c r="K69" i="14" s="1"/>
  <c r="K39" i="14" s="1"/>
  <c r="Q52" i="14"/>
  <c r="Y22" i="16"/>
  <c r="Y20" i="16"/>
  <c r="Y25" i="16" s="1"/>
  <c r="Y21" i="16"/>
  <c r="Y19" i="16"/>
  <c r="N69" i="3"/>
  <c r="M72" i="3"/>
  <c r="S69" i="3"/>
  <c r="BA21" i="16"/>
  <c r="BA19" i="16"/>
  <c r="BA20" i="16"/>
  <c r="BA25" i="16" s="1"/>
  <c r="BA22" i="16"/>
  <c r="N21" i="3"/>
  <c r="S21" i="3" s="1"/>
  <c r="R7" i="3"/>
  <c r="E63" i="14"/>
  <c r="E65" i="14" s="1"/>
  <c r="E69" i="14" s="1"/>
  <c r="E39" i="14" s="1"/>
  <c r="M79" i="4"/>
  <c r="L87" i="4"/>
  <c r="V20" i="17"/>
  <c r="V24" i="17" s="1"/>
  <c r="V19" i="17"/>
  <c r="V21" i="17"/>
  <c r="BG20" i="17"/>
  <c r="BG24" i="17" s="1"/>
  <c r="BG19" i="17"/>
  <c r="BG21" i="17"/>
  <c r="BP8" i="18"/>
  <c r="BD12" i="18"/>
  <c r="BD14" i="18" s="1"/>
  <c r="BD15" i="18" s="1"/>
  <c r="BF20" i="17"/>
  <c r="BF24" i="17" s="1"/>
  <c r="BF19" i="17"/>
  <c r="BF21" i="17"/>
  <c r="N29" i="3"/>
  <c r="J47" i="3"/>
  <c r="I55" i="3"/>
  <c r="BL21" i="17"/>
  <c r="BL19" i="17"/>
  <c r="BL20" i="17"/>
  <c r="BL24" i="17" s="1"/>
  <c r="S21" i="17"/>
  <c r="S19" i="17"/>
  <c r="S20" i="17"/>
  <c r="S24" i="17" s="1"/>
  <c r="Z21" i="18"/>
  <c r="Z19" i="18"/>
  <c r="Z24" i="18" s="1"/>
  <c r="Z20" i="18"/>
  <c r="Z18" i="18"/>
  <c r="X22" i="16"/>
  <c r="X20" i="16"/>
  <c r="X25" i="16" s="1"/>
  <c r="X19" i="16"/>
  <c r="X21" i="16"/>
  <c r="Q15" i="18"/>
  <c r="Q12" i="18"/>
  <c r="Q14" i="18" s="1"/>
  <c r="AC8" i="18"/>
  <c r="P12" i="16"/>
  <c r="P15" i="16" s="1"/>
  <c r="P16" i="16" s="1"/>
  <c r="AO19" i="18"/>
  <c r="AO24" i="18" s="1"/>
  <c r="AO20" i="18"/>
  <c r="AO18" i="18"/>
  <c r="AO21" i="18"/>
  <c r="Q14" i="3"/>
  <c r="Q16" i="3" s="1"/>
  <c r="I16" i="3"/>
  <c r="N93" i="4"/>
  <c r="O90" i="4"/>
  <c r="BN20" i="18"/>
  <c r="BN18" i="18"/>
  <c r="BN21" i="18"/>
  <c r="BN19" i="18"/>
  <c r="BN24" i="18" s="1"/>
  <c r="AY20" i="16"/>
  <c r="AY25" i="16" s="1"/>
  <c r="AY21" i="16"/>
  <c r="AY19" i="16"/>
  <c r="AY22" i="16"/>
  <c r="AC12" i="16"/>
  <c r="AC15" i="16" s="1"/>
  <c r="AC16" i="16" s="1"/>
  <c r="N63" i="14"/>
  <c r="N65" i="14" s="1"/>
  <c r="N69" i="14" s="1"/>
  <c r="N39" i="14" s="1"/>
  <c r="N41" i="14" s="1"/>
  <c r="T52" i="14"/>
  <c r="BO20" i="18"/>
  <c r="BO18" i="18"/>
  <c r="BO21" i="18"/>
  <c r="BO19" i="18"/>
  <c r="BO24" i="18" s="1"/>
  <c r="AK22" i="16"/>
  <c r="AK20" i="16"/>
  <c r="AK25" i="16" s="1"/>
  <c r="AK21" i="16"/>
  <c r="AK19" i="16"/>
  <c r="W22" i="16"/>
  <c r="W20" i="16"/>
  <c r="W25" i="16" s="1"/>
  <c r="W21" i="16"/>
  <c r="W19" i="16"/>
  <c r="K20" i="17"/>
  <c r="K24" i="17" s="1"/>
  <c r="K19" i="17"/>
  <c r="K21" i="17"/>
  <c r="V19" i="16"/>
  <c r="V22" i="16"/>
  <c r="V20" i="16"/>
  <c r="V25" i="16" s="1"/>
  <c r="V21" i="16"/>
  <c r="M22" i="3"/>
  <c r="N30" i="3" s="1"/>
  <c r="N8" i="3"/>
  <c r="AQ12" i="18"/>
  <c r="AQ14" i="18" s="1"/>
  <c r="AQ15" i="18" s="1"/>
  <c r="BC8" i="18"/>
  <c r="H20" i="3"/>
  <c r="BJ20" i="16"/>
  <c r="BJ25" i="16" s="1"/>
  <c r="BJ21" i="16"/>
  <c r="BJ19" i="16"/>
  <c r="BJ22" i="16"/>
  <c r="BK20" i="16"/>
  <c r="BK25" i="16" s="1"/>
  <c r="BK21" i="16"/>
  <c r="BK19" i="16"/>
  <c r="BK22" i="16"/>
  <c r="BM21" i="17"/>
  <c r="BM19" i="17"/>
  <c r="BM20" i="17"/>
  <c r="BM24" i="17" s="1"/>
  <c r="N21" i="18"/>
  <c r="N19" i="18"/>
  <c r="N24" i="18" s="1"/>
  <c r="N20" i="18"/>
  <c r="N18" i="18"/>
  <c r="BL19" i="18"/>
  <c r="BL24" i="18" s="1"/>
  <c r="BL20" i="18"/>
  <c r="BL18" i="18"/>
  <c r="BL21" i="18"/>
  <c r="BC12" i="16"/>
  <c r="BC15" i="16" s="1"/>
  <c r="BC16" i="16"/>
  <c r="AD15" i="18"/>
  <c r="AD12" i="18"/>
  <c r="AD14" i="18" s="1"/>
  <c r="AP8" i="18"/>
  <c r="U20" i="18"/>
  <c r="U18" i="18"/>
  <c r="U21" i="18"/>
  <c r="U19" i="18"/>
  <c r="U24" i="18" s="1"/>
  <c r="M61" i="3"/>
  <c r="N61" i="3" s="1"/>
  <c r="S61" i="3"/>
  <c r="AR20" i="18"/>
  <c r="AR18" i="18"/>
  <c r="AR21" i="18"/>
  <c r="AR19" i="18"/>
  <c r="AR24" i="18" s="1"/>
  <c r="S20" i="18"/>
  <c r="S18" i="18"/>
  <c r="S21" i="18"/>
  <c r="S19" i="18"/>
  <c r="S24" i="18" s="1"/>
  <c r="BE19" i="17"/>
  <c r="BE20" i="17"/>
  <c r="BE24" i="17" s="1"/>
  <c r="BE21" i="17"/>
  <c r="G60" i="4" l="1"/>
  <c r="G61" i="4" s="1"/>
  <c r="G97" i="4"/>
  <c r="BM84" i="4"/>
  <c r="AG72" i="4"/>
  <c r="I31" i="20"/>
  <c r="W56" i="4"/>
  <c r="J22" i="4"/>
  <c r="D172" i="4" s="1"/>
  <c r="B12" i="9" s="1"/>
  <c r="J57" i="4"/>
  <c r="J97" i="4" s="1"/>
  <c r="J42" i="4"/>
  <c r="X21" i="4"/>
  <c r="X56" i="4" s="1"/>
  <c r="X19" i="4"/>
  <c r="X54" i="4" s="1"/>
  <c r="I27" i="20"/>
  <c r="I30" i="20"/>
  <c r="I29" i="20"/>
  <c r="D26" i="23"/>
  <c r="E99" i="4"/>
  <c r="F26" i="23"/>
  <c r="E26" i="23"/>
  <c r="X80" i="4"/>
  <c r="H62" i="23"/>
  <c r="O93" i="4"/>
  <c r="G26" i="23"/>
  <c r="R22" i="20"/>
  <c r="K28" i="20" s="1"/>
  <c r="S21" i="20"/>
  <c r="S22" i="20" s="1"/>
  <c r="P22" i="20"/>
  <c r="BQ19" i="16"/>
  <c r="BQ22" i="16"/>
  <c r="BQ20" i="16"/>
  <c r="BQ25" i="16" s="1"/>
  <c r="BQ21" i="16"/>
  <c r="AQ20" i="18"/>
  <c r="AQ18" i="18"/>
  <c r="AQ21" i="18"/>
  <c r="AQ19" i="18"/>
  <c r="AQ24" i="18" s="1"/>
  <c r="P21" i="16"/>
  <c r="P19" i="16"/>
  <c r="P22" i="16"/>
  <c r="P20" i="16"/>
  <c r="P25" i="16" s="1"/>
  <c r="Q21" i="17"/>
  <c r="Q19" i="17"/>
  <c r="Q20" i="17"/>
  <c r="Q24" i="17" s="1"/>
  <c r="BD20" i="18"/>
  <c r="BD18" i="18"/>
  <c r="BD21" i="18"/>
  <c r="BD19" i="18"/>
  <c r="BD24" i="18" s="1"/>
  <c r="BD21" i="17"/>
  <c r="BD20" i="17"/>
  <c r="BD24" i="17" s="1"/>
  <c r="BD19" i="17"/>
  <c r="G20" i="18"/>
  <c r="G18" i="18"/>
  <c r="G21" i="18"/>
  <c r="G19" i="18"/>
  <c r="G24" i="18" s="1"/>
  <c r="AQ21" i="17"/>
  <c r="AQ19" i="17"/>
  <c r="AQ20" i="17"/>
  <c r="AQ24" i="17" s="1"/>
  <c r="G21" i="17"/>
  <c r="G19" i="17"/>
  <c r="G20" i="17"/>
  <c r="G24" i="17" s="1"/>
  <c r="AC21" i="16"/>
  <c r="AC19" i="16"/>
  <c r="AC20" i="16"/>
  <c r="AC25" i="16" s="1"/>
  <c r="AC22" i="16"/>
  <c r="AD19" i="17"/>
  <c r="AD20" i="17"/>
  <c r="AD24" i="17" s="1"/>
  <c r="AD21" i="17"/>
  <c r="AP21" i="16"/>
  <c r="AP19" i="16"/>
  <c r="AP22" i="16"/>
  <c r="AP20" i="16"/>
  <c r="AP25" i="16" s="1"/>
  <c r="H24" i="3"/>
  <c r="M51" i="3"/>
  <c r="N51" i="3" s="1"/>
  <c r="R51" i="3"/>
  <c r="S51" i="3"/>
  <c r="J55" i="3"/>
  <c r="K47" i="3"/>
  <c r="P39" i="14"/>
  <c r="K41" i="14"/>
  <c r="P41" i="14" s="1"/>
  <c r="BQ16" i="17"/>
  <c r="BQ12" i="17"/>
  <c r="BQ15" i="17" s="1"/>
  <c r="AC12" i="17"/>
  <c r="AC15" i="17" s="1"/>
  <c r="AC16" i="17" s="1"/>
  <c r="S22" i="3"/>
  <c r="S63" i="14"/>
  <c r="S65" i="14" s="1"/>
  <c r="S69" i="14" s="1"/>
  <c r="S39" i="14" s="1"/>
  <c r="S41" i="14" s="1"/>
  <c r="Y52" i="14"/>
  <c r="F20" i="3"/>
  <c r="F24" i="3" s="1"/>
  <c r="F35" i="3"/>
  <c r="S30" i="3"/>
  <c r="M32" i="3"/>
  <c r="R30" i="3"/>
  <c r="I57" i="4"/>
  <c r="BC12" i="18"/>
  <c r="BC14" i="18" s="1"/>
  <c r="BC15" i="18" s="1"/>
  <c r="AP12" i="17"/>
  <c r="AP15" i="17" s="1"/>
  <c r="AP16" i="17" s="1"/>
  <c r="R61" i="3"/>
  <c r="E41" i="14"/>
  <c r="J41" i="14" s="1"/>
  <c r="J39" i="14"/>
  <c r="F57" i="4"/>
  <c r="L24" i="3"/>
  <c r="BQ15" i="18"/>
  <c r="BQ12" i="18"/>
  <c r="BQ14" i="18" s="1"/>
  <c r="K76" i="4"/>
  <c r="R29" i="3"/>
  <c r="S29" i="3"/>
  <c r="U63" i="14"/>
  <c r="U65" i="14" s="1"/>
  <c r="U69" i="14" s="1"/>
  <c r="U39" i="14" s="1"/>
  <c r="U41" i="14" s="1"/>
  <c r="AA52" i="14"/>
  <c r="R63" i="14"/>
  <c r="R65" i="14" s="1"/>
  <c r="R69" i="14" s="1"/>
  <c r="R39" i="14" s="1"/>
  <c r="R41" i="14" s="1"/>
  <c r="X52" i="14"/>
  <c r="Q63" i="14"/>
  <c r="Q65" i="14" s="1"/>
  <c r="Q69" i="14" s="1"/>
  <c r="Q39" i="14" s="1"/>
  <c r="W52" i="14"/>
  <c r="I20" i="3"/>
  <c r="I24" i="3" s="1"/>
  <c r="I35" i="3"/>
  <c r="BC12" i="17"/>
  <c r="BC15" i="17" s="1"/>
  <c r="BC16" i="17" s="1"/>
  <c r="Z81" i="4"/>
  <c r="AP12" i="18"/>
  <c r="AP14" i="18" s="1"/>
  <c r="AP15" i="18" s="1"/>
  <c r="AD20" i="18"/>
  <c r="AD18" i="18"/>
  <c r="AD21" i="18"/>
  <c r="AD19" i="18"/>
  <c r="AD24" i="18" s="1"/>
  <c r="BC21" i="16"/>
  <c r="BC19" i="16"/>
  <c r="BC22" i="16"/>
  <c r="BC20" i="16"/>
  <c r="BC25" i="16" s="1"/>
  <c r="M23" i="3"/>
  <c r="N9" i="3"/>
  <c r="M10" i="3"/>
  <c r="I5" i="11"/>
  <c r="I6" i="11"/>
  <c r="I7" i="11" s="1"/>
  <c r="I8" i="11" s="1"/>
  <c r="H10" i="11"/>
  <c r="H12" i="11" s="1"/>
  <c r="H16" i="11" s="1"/>
  <c r="H19" i="11" s="1"/>
  <c r="T63" i="14"/>
  <c r="T65" i="14" s="1"/>
  <c r="T69" i="14" s="1"/>
  <c r="T39" i="14" s="1"/>
  <c r="T41" i="14" s="1"/>
  <c r="Z52" i="14"/>
  <c r="AC12" i="18"/>
  <c r="AC14" i="18" s="1"/>
  <c r="AC15" i="18" s="1"/>
  <c r="BP12" i="18"/>
  <c r="BP14" i="18" s="1"/>
  <c r="BP15" i="18" s="1"/>
  <c r="N22" i="3"/>
  <c r="R8" i="3"/>
  <c r="N58" i="3"/>
  <c r="P90" i="4"/>
  <c r="C77" i="23" s="1"/>
  <c r="Q19" i="18"/>
  <c r="Q24" i="18" s="1"/>
  <c r="Q20" i="18"/>
  <c r="Q18" i="18"/>
  <c r="Q21" i="18"/>
  <c r="N72" i="3"/>
  <c r="S72" i="3" s="1"/>
  <c r="R69" i="3"/>
  <c r="R72" i="3" s="1"/>
  <c r="E36" i="3"/>
  <c r="O35" i="3"/>
  <c r="O36" i="3" s="1"/>
  <c r="BP12" i="17"/>
  <c r="BP15" i="17" s="1"/>
  <c r="BP16" i="17" s="1"/>
  <c r="M87" i="4"/>
  <c r="N79" i="4"/>
  <c r="E24" i="3"/>
  <c r="H28" i="3"/>
  <c r="S20" i="3"/>
  <c r="K60" i="3"/>
  <c r="J66" i="3"/>
  <c r="BP21" i="16"/>
  <c r="BP19" i="16"/>
  <c r="BP22" i="16"/>
  <c r="BP20" i="16"/>
  <c r="BP25" i="16" s="1"/>
  <c r="L32" i="3"/>
  <c r="L35" i="3" s="1"/>
  <c r="D11" i="9"/>
  <c r="P12" i="18"/>
  <c r="P14" i="18" s="1"/>
  <c r="P15" i="18" s="1"/>
  <c r="C16" i="23"/>
  <c r="L10" i="23" l="1"/>
  <c r="H26" i="23"/>
  <c r="I60" i="4"/>
  <c r="I97" i="4"/>
  <c r="F60" i="4"/>
  <c r="F61" i="4" s="1"/>
  <c r="F97" i="4"/>
  <c r="F99" i="4" s="1"/>
  <c r="AH72" i="4"/>
  <c r="BN84" i="4"/>
  <c r="K31" i="20"/>
  <c r="L31" i="20" s="1"/>
  <c r="AN42" i="4"/>
  <c r="AJ42" i="4"/>
  <c r="AF42" i="4"/>
  <c r="AW42" i="4"/>
  <c r="AS42" i="4"/>
  <c r="Q22" i="4"/>
  <c r="AC7" i="4"/>
  <c r="D7" i="23" s="1"/>
  <c r="AC26" i="4"/>
  <c r="D22" i="23" s="1"/>
  <c r="M16" i="23" s="1"/>
  <c r="P7" i="4"/>
  <c r="C7" i="23" s="1"/>
  <c r="AP26" i="4"/>
  <c r="E22" i="23" s="1"/>
  <c r="N16" i="23" s="1"/>
  <c r="P34" i="4"/>
  <c r="C27" i="23" s="1"/>
  <c r="L17" i="23" s="1"/>
  <c r="L18" i="23" s="1"/>
  <c r="AC34" i="4"/>
  <c r="D27" i="23" s="1"/>
  <c r="M17" i="23" s="1"/>
  <c r="J60" i="4"/>
  <c r="J61" i="4" s="1"/>
  <c r="P46" i="4"/>
  <c r="C36" i="23" s="1"/>
  <c r="X22" i="4"/>
  <c r="Y19" i="4"/>
  <c r="Y54" i="4" s="1"/>
  <c r="Y21" i="4"/>
  <c r="O42" i="4"/>
  <c r="W42" i="4"/>
  <c r="Z42" i="4"/>
  <c r="P55" i="4"/>
  <c r="C42" i="23" s="1"/>
  <c r="C80" i="23"/>
  <c r="AE79" i="4"/>
  <c r="Y80" i="4"/>
  <c r="Q93" i="4"/>
  <c r="R90" i="4"/>
  <c r="BE79" i="4"/>
  <c r="BF79" i="4" s="1"/>
  <c r="BG79" i="4" s="1"/>
  <c r="BH79" i="4" s="1"/>
  <c r="BI79" i="4" s="1"/>
  <c r="BP92" i="4"/>
  <c r="K30" i="20"/>
  <c r="K29" i="20"/>
  <c r="K27" i="20"/>
  <c r="L28" i="20"/>
  <c r="P54" i="4"/>
  <c r="C41" i="23" s="1"/>
  <c r="BC21" i="17"/>
  <c r="BC19" i="17"/>
  <c r="BC20" i="17"/>
  <c r="BC24" i="17" s="1"/>
  <c r="P19" i="18"/>
  <c r="P24" i="18" s="1"/>
  <c r="P20" i="18"/>
  <c r="P18" i="18"/>
  <c r="P21" i="18"/>
  <c r="BC20" i="18"/>
  <c r="BC18" i="18"/>
  <c r="BC21" i="18"/>
  <c r="BC19" i="18"/>
  <c r="BC24" i="18" s="1"/>
  <c r="AP19" i="17"/>
  <c r="AP20" i="17"/>
  <c r="AP24" i="17" s="1"/>
  <c r="AP21" i="17"/>
  <c r="AC21" i="17"/>
  <c r="AC19" i="17"/>
  <c r="AC20" i="17"/>
  <c r="AC24" i="17" s="1"/>
  <c r="AP20" i="18"/>
  <c r="AP18" i="18"/>
  <c r="AP21" i="18"/>
  <c r="AP19" i="18"/>
  <c r="AP24" i="18" s="1"/>
  <c r="BP21" i="17"/>
  <c r="BP20" i="17"/>
  <c r="BP24" i="17" s="1"/>
  <c r="BP19" i="17"/>
  <c r="BP20" i="18"/>
  <c r="BP18" i="18"/>
  <c r="BP21" i="18"/>
  <c r="BP19" i="18"/>
  <c r="BP24" i="18" s="1"/>
  <c r="L36" i="3"/>
  <c r="AC19" i="18"/>
  <c r="AC24" i="18" s="1"/>
  <c r="AC20" i="18"/>
  <c r="AC18" i="18"/>
  <c r="AC21" i="18"/>
  <c r="D12" i="9"/>
  <c r="AA63" i="14"/>
  <c r="AA65" i="14" s="1"/>
  <c r="AA69" i="14" s="1"/>
  <c r="AA39" i="14" s="1"/>
  <c r="AA41" i="14" s="1"/>
  <c r="AG52" i="14"/>
  <c r="AG63" i="14" s="1"/>
  <c r="AG65" i="14" s="1"/>
  <c r="AG69" i="14" s="1"/>
  <c r="AG39" i="14" s="1"/>
  <c r="AG41" i="14" s="1"/>
  <c r="L76" i="4"/>
  <c r="K28" i="3"/>
  <c r="Y63" i="14"/>
  <c r="Y65" i="14" s="1"/>
  <c r="Y69" i="14" s="1"/>
  <c r="Y39" i="14" s="1"/>
  <c r="Y41" i="14" s="1"/>
  <c r="AE52" i="14"/>
  <c r="AE63" i="14" s="1"/>
  <c r="AE65" i="14" s="1"/>
  <c r="AE69" i="14" s="1"/>
  <c r="AE39" i="14" s="1"/>
  <c r="AE41" i="14" s="1"/>
  <c r="P28" i="3"/>
  <c r="P32" i="3" s="1"/>
  <c r="H32" i="3"/>
  <c r="H35" i="3" s="1"/>
  <c r="S28" i="3"/>
  <c r="P93" i="4"/>
  <c r="N31" i="3"/>
  <c r="I36" i="3"/>
  <c r="F36" i="3"/>
  <c r="AB6" i="14"/>
  <c r="AA6" i="14"/>
  <c r="Z6" i="14"/>
  <c r="Y6" i="14"/>
  <c r="X6" i="14"/>
  <c r="W6" i="14"/>
  <c r="S6" i="14"/>
  <c r="R6" i="14"/>
  <c r="AC6" i="14"/>
  <c r="U6" i="14"/>
  <c r="T6" i="14"/>
  <c r="V6" i="14"/>
  <c r="L60" i="3"/>
  <c r="K66" i="3"/>
  <c r="BQ19" i="17"/>
  <c r="BQ20" i="17"/>
  <c r="BQ24" i="17" s="1"/>
  <c r="BQ21" i="17"/>
  <c r="Q60" i="3"/>
  <c r="Q66" i="3" s="1"/>
  <c r="M24" i="3"/>
  <c r="AD52" i="14"/>
  <c r="AD63" i="14" s="1"/>
  <c r="AD65" i="14" s="1"/>
  <c r="AD69" i="14" s="1"/>
  <c r="AD39" i="14" s="1"/>
  <c r="AD41" i="14" s="1"/>
  <c r="X63" i="14"/>
  <c r="X65" i="14" s="1"/>
  <c r="X69" i="14" s="1"/>
  <c r="X39" i="14" s="1"/>
  <c r="X41" i="14" s="1"/>
  <c r="J5" i="11"/>
  <c r="J6" i="11"/>
  <c r="J7" i="11" s="1"/>
  <c r="J8" i="11" s="1"/>
  <c r="I10" i="11"/>
  <c r="I12" i="11" s="1"/>
  <c r="I16" i="11" s="1"/>
  <c r="I19" i="11" s="1"/>
  <c r="N23" i="3"/>
  <c r="N24" i="3" s="1"/>
  <c r="N10" i="3"/>
  <c r="S9" i="3"/>
  <c r="S10" i="3" s="1"/>
  <c r="R9" i="3"/>
  <c r="R10" i="3" s="1"/>
  <c r="P6" i="14"/>
  <c r="O6" i="14"/>
  <c r="N6" i="14"/>
  <c r="M6" i="14"/>
  <c r="L6" i="14"/>
  <c r="K6" i="14"/>
  <c r="J6" i="14"/>
  <c r="I6" i="14"/>
  <c r="H6" i="14"/>
  <c r="O79" i="4"/>
  <c r="N87" i="4"/>
  <c r="S58" i="3"/>
  <c r="R58" i="3"/>
  <c r="AA81" i="4"/>
  <c r="W63" i="14"/>
  <c r="W65" i="14" s="1"/>
  <c r="W69" i="14" s="1"/>
  <c r="W39" i="14" s="1"/>
  <c r="AC52" i="14"/>
  <c r="AC63" i="14" s="1"/>
  <c r="AC65" i="14" s="1"/>
  <c r="AC69" i="14" s="1"/>
  <c r="AC39" i="14" s="1"/>
  <c r="M35" i="3"/>
  <c r="M36" i="3" s="1"/>
  <c r="BQ20" i="18"/>
  <c r="BQ18" i="18"/>
  <c r="BQ21" i="18"/>
  <c r="BQ19" i="18"/>
  <c r="BQ24" i="18" s="1"/>
  <c r="AF52" i="14"/>
  <c r="AF63" i="14" s="1"/>
  <c r="AF65" i="14" s="1"/>
  <c r="AF69" i="14" s="1"/>
  <c r="AF39" i="14" s="1"/>
  <c r="AF41" i="14" s="1"/>
  <c r="Z63" i="14"/>
  <c r="Z65" i="14" s="1"/>
  <c r="Z69" i="14" s="1"/>
  <c r="Z39" i="14" s="1"/>
  <c r="Z41" i="14" s="1"/>
  <c r="Q41" i="14"/>
  <c r="V41" i="14" s="1"/>
  <c r="V39" i="14"/>
  <c r="K55" i="3"/>
  <c r="L47" i="3"/>
  <c r="Q47" i="3"/>
  <c r="Q55" i="3" s="1"/>
  <c r="L24" i="23" l="1"/>
  <c r="L23" i="23"/>
  <c r="L22" i="23"/>
  <c r="C18" i="23"/>
  <c r="L7" i="23"/>
  <c r="L12" i="23" s="1"/>
  <c r="M18" i="23"/>
  <c r="M7" i="23"/>
  <c r="BO84" i="4"/>
  <c r="BP84" i="4" s="1"/>
  <c r="S90" i="4"/>
  <c r="T90" i="4" s="1"/>
  <c r="U90" i="4" s="1"/>
  <c r="AI72" i="4"/>
  <c r="AJ72" i="4" s="1"/>
  <c r="AK72" i="4" s="1"/>
  <c r="AL72" i="4" s="1"/>
  <c r="AM72" i="4" s="1"/>
  <c r="AN72" i="4" s="1"/>
  <c r="AO72" i="4" s="1"/>
  <c r="AQ72" i="4" s="1"/>
  <c r="Y22" i="4"/>
  <c r="Y56" i="4"/>
  <c r="Y42" i="4"/>
  <c r="X42" i="4"/>
  <c r="AL42" i="4"/>
  <c r="AH42" i="4"/>
  <c r="AB42" i="4"/>
  <c r="Z21" i="4"/>
  <c r="Z56" i="4" s="1"/>
  <c r="Z19" i="4"/>
  <c r="Z54" i="4" s="1"/>
  <c r="W22" i="4"/>
  <c r="F96" i="4"/>
  <c r="AA42" i="4"/>
  <c r="T42" i="4"/>
  <c r="T22" i="4"/>
  <c r="R42" i="4"/>
  <c r="R22" i="4"/>
  <c r="D179" i="4" s="1"/>
  <c r="N22" i="4"/>
  <c r="D176" i="4" s="1"/>
  <c r="B16" i="9" s="1"/>
  <c r="M42" i="4"/>
  <c r="M22" i="4"/>
  <c r="D175" i="4" s="1"/>
  <c r="B15" i="9" s="1"/>
  <c r="S42" i="4"/>
  <c r="S22" i="4"/>
  <c r="L42" i="4"/>
  <c r="L22" i="4"/>
  <c r="D174" i="4" s="1"/>
  <c r="B14" i="9" s="1"/>
  <c r="E31" i="23"/>
  <c r="P22" i="4"/>
  <c r="K22" i="4"/>
  <c r="D173" i="4" s="1"/>
  <c r="B13" i="9" s="1"/>
  <c r="D13" i="9" s="1"/>
  <c r="AD42" i="4"/>
  <c r="V22" i="4"/>
  <c r="V42" i="4"/>
  <c r="U22" i="4"/>
  <c r="BJ79" i="4"/>
  <c r="BK79" i="4" s="1"/>
  <c r="BL79" i="4" s="1"/>
  <c r="BM79" i="4" s="1"/>
  <c r="BN79" i="4" s="1"/>
  <c r="BO79" i="4" s="1"/>
  <c r="AU42" i="4"/>
  <c r="L57" i="4"/>
  <c r="M57" i="4"/>
  <c r="L29" i="20"/>
  <c r="AC46" i="4"/>
  <c r="D36" i="23" s="1"/>
  <c r="D178" i="4"/>
  <c r="B18" i="9" s="1"/>
  <c r="BQ92" i="4"/>
  <c r="G79" i="23"/>
  <c r="H79" i="23" s="1"/>
  <c r="BC26" i="4"/>
  <c r="F22" i="23" s="1"/>
  <c r="O16" i="23" s="1"/>
  <c r="AG42" i="4"/>
  <c r="Z80" i="4"/>
  <c r="R93" i="4"/>
  <c r="AE42" i="4"/>
  <c r="AF79" i="4"/>
  <c r="AR79" i="4"/>
  <c r="Q87" i="4"/>
  <c r="R79" i="4"/>
  <c r="L30" i="20"/>
  <c r="L27" i="20"/>
  <c r="I10" i="14"/>
  <c r="I13" i="14" s="1"/>
  <c r="I14" i="14"/>
  <c r="I11" i="14"/>
  <c r="M60" i="3"/>
  <c r="L66" i="3"/>
  <c r="AB10" i="14"/>
  <c r="AB13" i="14" s="1"/>
  <c r="AB14" i="14" s="1"/>
  <c r="AB11" i="14"/>
  <c r="AA11" i="14"/>
  <c r="AA10" i="14"/>
  <c r="AA13" i="14" s="1"/>
  <c r="AA14" i="14" s="1"/>
  <c r="H36" i="3"/>
  <c r="AB81" i="4"/>
  <c r="AN6" i="14"/>
  <c r="AM6" i="14"/>
  <c r="AL6" i="14"/>
  <c r="AK6" i="14"/>
  <c r="AJ6" i="14"/>
  <c r="AI6" i="14"/>
  <c r="AP6" i="14"/>
  <c r="AO6" i="14"/>
  <c r="AH6" i="14"/>
  <c r="AG6" i="14"/>
  <c r="AF6" i="14"/>
  <c r="AE6" i="14"/>
  <c r="K11" i="14"/>
  <c r="K10" i="14"/>
  <c r="K13" i="14" s="1"/>
  <c r="K14" i="14" s="1"/>
  <c r="T10" i="14"/>
  <c r="T13" i="14" s="1"/>
  <c r="T14" i="14"/>
  <c r="T11" i="14"/>
  <c r="P35" i="3"/>
  <c r="P36" i="3" s="1"/>
  <c r="M47" i="3"/>
  <c r="L55" i="3"/>
  <c r="M76" i="4"/>
  <c r="J11" i="14"/>
  <c r="J10" i="14"/>
  <c r="J13" i="14" s="1"/>
  <c r="J14" i="14" s="1"/>
  <c r="AC10" i="14"/>
  <c r="AC13" i="14" s="1"/>
  <c r="AC14" i="14" s="1"/>
  <c r="AC11" i="14"/>
  <c r="N11" i="14"/>
  <c r="N10" i="14"/>
  <c r="N13" i="14" s="1"/>
  <c r="N14" i="14" s="1"/>
  <c r="K5" i="11"/>
  <c r="K6" i="11"/>
  <c r="K7" i="11" s="1"/>
  <c r="J10" i="11"/>
  <c r="J12" i="11" s="1"/>
  <c r="J16" i="11" s="1"/>
  <c r="J19" i="11" s="1"/>
  <c r="R10" i="14"/>
  <c r="R13" i="14" s="1"/>
  <c r="R11" i="14"/>
  <c r="AD11" i="14" s="1"/>
  <c r="AD6" i="14"/>
  <c r="R14" i="14"/>
  <c r="M11" i="14"/>
  <c r="M10" i="14"/>
  <c r="M13" i="14" s="1"/>
  <c r="M14" i="14" s="1"/>
  <c r="AC41" i="14"/>
  <c r="AH41" i="14" s="1"/>
  <c r="AH39" i="14"/>
  <c r="S10" i="14"/>
  <c r="S13" i="14" s="1"/>
  <c r="S11" i="14"/>
  <c r="S14" i="14"/>
  <c r="L11" i="14"/>
  <c r="L10" i="14"/>
  <c r="L13" i="14" s="1"/>
  <c r="L14" i="14" s="1"/>
  <c r="O22" i="4"/>
  <c r="D177" i="4" s="1"/>
  <c r="O14" i="14"/>
  <c r="O11" i="14"/>
  <c r="O10" i="14"/>
  <c r="O13" i="14" s="1"/>
  <c r="AB39" i="14"/>
  <c r="W41" i="14"/>
  <c r="AB41" i="14" s="1"/>
  <c r="O87" i="4"/>
  <c r="P79" i="4"/>
  <c r="C66" i="23" s="1"/>
  <c r="P10" i="14"/>
  <c r="P13" i="14" s="1"/>
  <c r="P11" i="14"/>
  <c r="P14" i="14"/>
  <c r="W14" i="14"/>
  <c r="W11" i="14"/>
  <c r="W10" i="14"/>
  <c r="W13" i="14" s="1"/>
  <c r="H10" i="14"/>
  <c r="Q6" i="14"/>
  <c r="H11" i="14"/>
  <c r="Q11" i="14" s="1"/>
  <c r="V14" i="14"/>
  <c r="V11" i="14"/>
  <c r="V10" i="14"/>
  <c r="V13" i="14" s="1"/>
  <c r="U10" i="14"/>
  <c r="U13" i="14" s="1"/>
  <c r="U14" i="14" s="1"/>
  <c r="U11" i="14"/>
  <c r="I61" i="4"/>
  <c r="X14" i="14"/>
  <c r="X11" i="14"/>
  <c r="X10" i="14"/>
  <c r="X13" i="14" s="1"/>
  <c r="S23" i="3"/>
  <c r="S24" i="3" s="1"/>
  <c r="Y11" i="14"/>
  <c r="Y10" i="14"/>
  <c r="Y13" i="14" s="1"/>
  <c r="Y14" i="14" s="1"/>
  <c r="S31" i="3"/>
  <c r="S32" i="3" s="1"/>
  <c r="R31" i="3"/>
  <c r="R32" i="3" s="1"/>
  <c r="N32" i="3"/>
  <c r="N35" i="3" s="1"/>
  <c r="Q28" i="3"/>
  <c r="Q32" i="3" s="1"/>
  <c r="K32" i="3"/>
  <c r="K35" i="3" s="1"/>
  <c r="Z14" i="14"/>
  <c r="Z11" i="14"/>
  <c r="Z10" i="14"/>
  <c r="Z13" i="14" s="1"/>
  <c r="M22" i="23" l="1"/>
  <c r="V90" i="4"/>
  <c r="W90" i="4" s="1"/>
  <c r="X90" i="4" s="1"/>
  <c r="Y90" i="4" s="1"/>
  <c r="Z90" i="4" s="1"/>
  <c r="AA90" i="4" s="1"/>
  <c r="AB90" i="4" s="1"/>
  <c r="G71" i="23"/>
  <c r="H71" i="23" s="1"/>
  <c r="BQ84" i="4"/>
  <c r="AR72" i="4"/>
  <c r="AS72" i="4" s="1"/>
  <c r="AT72" i="4" s="1"/>
  <c r="AU72" i="4" s="1"/>
  <c r="AV72" i="4" s="1"/>
  <c r="AP72" i="4"/>
  <c r="N42" i="4"/>
  <c r="N57" i="4"/>
  <c r="AQ42" i="4"/>
  <c r="AA19" i="4"/>
  <c r="AA54" i="4" s="1"/>
  <c r="Z22" i="4"/>
  <c r="AA21" i="4"/>
  <c r="AA56" i="4" s="1"/>
  <c r="G96" i="4"/>
  <c r="G99" i="4"/>
  <c r="M60" i="4"/>
  <c r="M61" i="4" s="1"/>
  <c r="BE42" i="4"/>
  <c r="D31" i="23"/>
  <c r="D32" i="23" s="1"/>
  <c r="Q42" i="4"/>
  <c r="C31" i="23"/>
  <c r="K42" i="4"/>
  <c r="L60" i="4"/>
  <c r="L61" i="4" s="1"/>
  <c r="U42" i="4"/>
  <c r="AG79" i="4"/>
  <c r="AH79" i="4" s="1"/>
  <c r="R57" i="4"/>
  <c r="R60" i="4" s="1"/>
  <c r="R61" i="4" s="1"/>
  <c r="AY42" i="4"/>
  <c r="AM42" i="4"/>
  <c r="K57" i="4"/>
  <c r="K97" i="4" s="1"/>
  <c r="Q57" i="4"/>
  <c r="BC74" i="4"/>
  <c r="F61" i="23" s="1"/>
  <c r="BF42" i="4"/>
  <c r="AI42" i="4"/>
  <c r="AT42" i="4"/>
  <c r="C74" i="23"/>
  <c r="AA80" i="4"/>
  <c r="BD42" i="4"/>
  <c r="AD81" i="4"/>
  <c r="AE81" i="4" s="1"/>
  <c r="B19" i="9"/>
  <c r="B17" i="9"/>
  <c r="G177" i="4"/>
  <c r="S93" i="4"/>
  <c r="BC7" i="4"/>
  <c r="F7" i="23" s="1"/>
  <c r="AP7" i="4"/>
  <c r="E7" i="23" s="1"/>
  <c r="S57" i="4"/>
  <c r="D180" i="4"/>
  <c r="BP79" i="4"/>
  <c r="G66" i="23" s="1"/>
  <c r="AS79" i="4"/>
  <c r="S79" i="4"/>
  <c r="R87" i="4"/>
  <c r="N19" i="14"/>
  <c r="N17" i="14"/>
  <c r="N20" i="14"/>
  <c r="N18" i="14"/>
  <c r="L18" i="14"/>
  <c r="L19" i="14"/>
  <c r="L20" i="14"/>
  <c r="L17" i="14"/>
  <c r="K20" i="14"/>
  <c r="K18" i="14"/>
  <c r="K19" i="14"/>
  <c r="K17" i="14"/>
  <c r="N36" i="3"/>
  <c r="R35" i="3"/>
  <c r="R36" i="3" s="1"/>
  <c r="AC19" i="14"/>
  <c r="AC17" i="14"/>
  <c r="AC20" i="14"/>
  <c r="AC18" i="14"/>
  <c r="M18" i="14"/>
  <c r="M19" i="14"/>
  <c r="M17" i="14"/>
  <c r="M20" i="14"/>
  <c r="AA19" i="14"/>
  <c r="AA17" i="14"/>
  <c r="AA18" i="14"/>
  <c r="AA20" i="14"/>
  <c r="AB19" i="14"/>
  <c r="AB17" i="14"/>
  <c r="AB20" i="14"/>
  <c r="AB18" i="14"/>
  <c r="Y18" i="14"/>
  <c r="Y19" i="14"/>
  <c r="Y17" i="14"/>
  <c r="Y20" i="14"/>
  <c r="J20" i="14"/>
  <c r="J18" i="14"/>
  <c r="J17" i="14"/>
  <c r="J19" i="14"/>
  <c r="U20" i="14"/>
  <c r="U18" i="14"/>
  <c r="U17" i="14"/>
  <c r="U19" i="14"/>
  <c r="AG10" i="14"/>
  <c r="AG13" i="14" s="1"/>
  <c r="AG14" i="14" s="1"/>
  <c r="AG11" i="14"/>
  <c r="AH11" i="14"/>
  <c r="AH10" i="14"/>
  <c r="AH13" i="14" s="1"/>
  <c r="AH14" i="14" s="1"/>
  <c r="N60" i="3"/>
  <c r="M66" i="3"/>
  <c r="S17" i="14"/>
  <c r="S20" i="14"/>
  <c r="S18" i="14"/>
  <c r="S19" i="14"/>
  <c r="P56" i="4"/>
  <c r="C43" i="23" s="1"/>
  <c r="O57" i="4"/>
  <c r="O60" i="4" s="1"/>
  <c r="T17" i="14"/>
  <c r="T20" i="14"/>
  <c r="T18" i="14"/>
  <c r="T19" i="14"/>
  <c r="AO10" i="14"/>
  <c r="AO13" i="14" s="1"/>
  <c r="AO14" i="14"/>
  <c r="AO11" i="14"/>
  <c r="K8" i="11"/>
  <c r="N76" i="4"/>
  <c r="AP10" i="14"/>
  <c r="AP13" i="14" s="1"/>
  <c r="AP14" i="14"/>
  <c r="AP11" i="14"/>
  <c r="D14" i="9"/>
  <c r="AI11" i="14"/>
  <c r="AI10" i="14"/>
  <c r="AI13" i="14" s="1"/>
  <c r="AI14" i="14" s="1"/>
  <c r="W20" i="14"/>
  <c r="W18" i="14"/>
  <c r="W19" i="14"/>
  <c r="W17" i="14"/>
  <c r="AJ11" i="14"/>
  <c r="AJ10" i="14"/>
  <c r="AJ13" i="14" s="1"/>
  <c r="AJ14" i="14" s="1"/>
  <c r="AC81" i="4"/>
  <c r="D68" i="23" s="1"/>
  <c r="O19" i="14"/>
  <c r="O17" i="14"/>
  <c r="O18" i="14"/>
  <c r="O20" i="14"/>
  <c r="X18" i="14"/>
  <c r="X19" i="14"/>
  <c r="X17" i="14"/>
  <c r="X20" i="14"/>
  <c r="H13" i="14"/>
  <c r="H14" i="14" s="1"/>
  <c r="Q10" i="14"/>
  <c r="Q13" i="14" s="1"/>
  <c r="Q14" i="14" s="1"/>
  <c r="AK11" i="14"/>
  <c r="AK10" i="14"/>
  <c r="AK13" i="14" s="1"/>
  <c r="AK14" i="14" s="1"/>
  <c r="I20" i="14"/>
  <c r="I18" i="14"/>
  <c r="I17" i="14"/>
  <c r="I19" i="14"/>
  <c r="V20" i="14"/>
  <c r="V18" i="14"/>
  <c r="V17" i="14"/>
  <c r="V19" i="14"/>
  <c r="P87" i="4"/>
  <c r="AZ6" i="14"/>
  <c r="AY6" i="14"/>
  <c r="AX6" i="14"/>
  <c r="AW6" i="14"/>
  <c r="AV6" i="14"/>
  <c r="AU6" i="14"/>
  <c r="BC6" i="14"/>
  <c r="BB6" i="14"/>
  <c r="BA6" i="14"/>
  <c r="AS6" i="14"/>
  <c r="AR6" i="14"/>
  <c r="AT6" i="14"/>
  <c r="K36" i="3"/>
  <c r="Q35" i="3"/>
  <c r="Q36" i="3" s="1"/>
  <c r="AL11" i="14"/>
  <c r="AL10" i="14"/>
  <c r="AL13" i="14" s="1"/>
  <c r="AL14" i="14" s="1"/>
  <c r="AD10" i="14"/>
  <c r="AD13" i="14" s="1"/>
  <c r="AD14" i="14"/>
  <c r="P19" i="14"/>
  <c r="P17" i="14"/>
  <c r="P20" i="14"/>
  <c r="P18" i="14"/>
  <c r="Z19" i="14"/>
  <c r="Z17" i="14"/>
  <c r="Z18" i="14"/>
  <c r="Z20" i="14"/>
  <c r="BL6" i="14"/>
  <c r="BK6" i="14"/>
  <c r="BJ6" i="14"/>
  <c r="BI6" i="14"/>
  <c r="BH6" i="14"/>
  <c r="BG6" i="14"/>
  <c r="BO6" i="14"/>
  <c r="BN6" i="14"/>
  <c r="BM6" i="14"/>
  <c r="BF6" i="14"/>
  <c r="BE6" i="14"/>
  <c r="BP6" i="14"/>
  <c r="AM11" i="14"/>
  <c r="AM10" i="14"/>
  <c r="AM13" i="14" s="1"/>
  <c r="AM14" i="14" s="1"/>
  <c r="AN10" i="14"/>
  <c r="AN13" i="14" s="1"/>
  <c r="AN14" i="14" s="1"/>
  <c r="AN11" i="14"/>
  <c r="S35" i="3"/>
  <c r="S36" i="3" s="1"/>
  <c r="R19" i="14"/>
  <c r="R17" i="14"/>
  <c r="R20" i="14"/>
  <c r="R18" i="14"/>
  <c r="N47" i="3"/>
  <c r="M55" i="3"/>
  <c r="AE10" i="14"/>
  <c r="AQ6" i="14"/>
  <c r="AE11" i="14"/>
  <c r="AQ11" i="14" s="1"/>
  <c r="AF10" i="14"/>
  <c r="AF13" i="14" s="1"/>
  <c r="AF14" i="14"/>
  <c r="AF11" i="14"/>
  <c r="L25" i="23" l="1"/>
  <c r="L26" i="23" s="1"/>
  <c r="L29" i="23" s="1"/>
  <c r="L30" i="23" s="1"/>
  <c r="C44" i="23"/>
  <c r="C32" i="23"/>
  <c r="S60" i="4"/>
  <c r="S61" i="4" s="1"/>
  <c r="N7" i="23"/>
  <c r="O7" i="23"/>
  <c r="AI79" i="4"/>
  <c r="AJ79" i="4" s="1"/>
  <c r="AK79" i="4" s="1"/>
  <c r="AL79" i="4" s="1"/>
  <c r="AM79" i="4" s="1"/>
  <c r="AN79" i="4" s="1"/>
  <c r="AO79" i="4" s="1"/>
  <c r="AW72" i="4"/>
  <c r="E59" i="23"/>
  <c r="N60" i="4"/>
  <c r="N61" i="4" s="1"/>
  <c r="AC42" i="4"/>
  <c r="AB21" i="4"/>
  <c r="AB19" i="4"/>
  <c r="AA22" i="4"/>
  <c r="H99" i="4"/>
  <c r="Q60" i="4"/>
  <c r="Q61" i="4" s="1"/>
  <c r="AC98" i="4"/>
  <c r="D84" i="23" s="1"/>
  <c r="K60" i="4"/>
  <c r="P42" i="4"/>
  <c r="S87" i="4"/>
  <c r="T79" i="4"/>
  <c r="BA42" i="4"/>
  <c r="BC46" i="4"/>
  <c r="F36" i="23" s="1"/>
  <c r="AX42" i="4"/>
  <c r="AP34" i="4"/>
  <c r="E27" i="23" s="1"/>
  <c r="N17" i="23" s="1"/>
  <c r="N18" i="23" s="1"/>
  <c r="AT79" i="4"/>
  <c r="AU79" i="4" s="1"/>
  <c r="AV79" i="4" s="1"/>
  <c r="BO42" i="4"/>
  <c r="AR42" i="4"/>
  <c r="AB80" i="4"/>
  <c r="BC34" i="4"/>
  <c r="F27" i="23" s="1"/>
  <c r="BB42" i="4"/>
  <c r="P57" i="4"/>
  <c r="B20" i="9"/>
  <c r="BP26" i="4"/>
  <c r="G22" i="23" s="1"/>
  <c r="P16" i="23" s="1"/>
  <c r="AF81" i="4"/>
  <c r="T93" i="4"/>
  <c r="AV42" i="4"/>
  <c r="F31" i="23"/>
  <c r="AK42" i="4"/>
  <c r="BJ42" i="4"/>
  <c r="T57" i="4"/>
  <c r="T60" i="4" s="1"/>
  <c r="D181" i="4"/>
  <c r="Q76" i="4"/>
  <c r="AP68" i="4"/>
  <c r="E55" i="23" s="1"/>
  <c r="BC68" i="4"/>
  <c r="F55" i="23" s="1"/>
  <c r="AK18" i="14"/>
  <c r="AK19" i="14"/>
  <c r="AK17" i="14"/>
  <c r="AK20" i="14"/>
  <c r="AM19" i="14"/>
  <c r="AM17" i="14"/>
  <c r="AM18" i="14"/>
  <c r="AM20" i="14"/>
  <c r="AL19" i="14"/>
  <c r="AL17" i="14"/>
  <c r="AL18" i="14"/>
  <c r="AL20" i="14"/>
  <c r="O61" i="4"/>
  <c r="AG20" i="14"/>
  <c r="AG18" i="14"/>
  <c r="AG19" i="14"/>
  <c r="AG17" i="14"/>
  <c r="AN19" i="14"/>
  <c r="AN17" i="14"/>
  <c r="AN20" i="14"/>
  <c r="AN18" i="14"/>
  <c r="AJ18" i="14"/>
  <c r="AJ19" i="14"/>
  <c r="AJ20" i="14"/>
  <c r="AJ17" i="14"/>
  <c r="Q19" i="14"/>
  <c r="Q17" i="14"/>
  <c r="Q20" i="14"/>
  <c r="Q18" i="14"/>
  <c r="AI20" i="14"/>
  <c r="AI18" i="14"/>
  <c r="AI19" i="14"/>
  <c r="AI17" i="14"/>
  <c r="AH20" i="14"/>
  <c r="AH18" i="14"/>
  <c r="AH17" i="14"/>
  <c r="AH19" i="14"/>
  <c r="L5" i="11"/>
  <c r="L6" i="11"/>
  <c r="L7" i="11" s="1"/>
  <c r="L8" i="11" s="1"/>
  <c r="K10" i="11"/>
  <c r="K12" i="11" s="1"/>
  <c r="K16" i="11" s="1"/>
  <c r="K19" i="11" s="1"/>
  <c r="AV14" i="14"/>
  <c r="AV11" i="14"/>
  <c r="AV10" i="14"/>
  <c r="AV13" i="14" s="1"/>
  <c r="N55" i="3"/>
  <c r="S47" i="3"/>
  <c r="S55" i="3" s="1"/>
  <c r="R47" i="3"/>
  <c r="R55" i="3" s="1"/>
  <c r="BM10" i="14"/>
  <c r="BM13" i="14" s="1"/>
  <c r="BM14" i="14"/>
  <c r="BM11" i="14"/>
  <c r="AW14" i="14"/>
  <c r="AW11" i="14"/>
  <c r="AW10" i="14"/>
  <c r="AW13" i="14" s="1"/>
  <c r="BF11" i="14"/>
  <c r="BF10" i="14"/>
  <c r="BF13" i="14" s="1"/>
  <c r="BF14" i="14" s="1"/>
  <c r="BN10" i="14"/>
  <c r="BN13" i="14" s="1"/>
  <c r="BN14" i="14" s="1"/>
  <c r="BN11" i="14"/>
  <c r="AX14" i="14"/>
  <c r="AX11" i="14"/>
  <c r="AX10" i="14"/>
  <c r="AX13" i="14" s="1"/>
  <c r="D15" i="9"/>
  <c r="BE10" i="14"/>
  <c r="BE13" i="14" s="1"/>
  <c r="BE14" i="14"/>
  <c r="BE11" i="14"/>
  <c r="BQ11" i="14" s="1"/>
  <c r="BQ6" i="14"/>
  <c r="S60" i="3"/>
  <c r="S66" i="3" s="1"/>
  <c r="N66" i="3"/>
  <c r="R60" i="3"/>
  <c r="R66" i="3" s="1"/>
  <c r="H17" i="14"/>
  <c r="H20" i="14"/>
  <c r="H18" i="14"/>
  <c r="H19" i="14"/>
  <c r="AT11" i="14"/>
  <c r="AT10" i="14"/>
  <c r="AT13" i="14" s="1"/>
  <c r="AT14" i="14" s="1"/>
  <c r="AY11" i="14"/>
  <c r="AY10" i="14"/>
  <c r="AY13" i="14" s="1"/>
  <c r="AY14" i="14" s="1"/>
  <c r="AF17" i="14"/>
  <c r="AF20" i="14"/>
  <c r="AF18" i="14"/>
  <c r="AF19" i="14"/>
  <c r="AR10" i="14"/>
  <c r="AR13" i="14" s="1"/>
  <c r="AR14" i="14"/>
  <c r="AR11" i="14"/>
  <c r="BD11" i="14" s="1"/>
  <c r="BD6" i="14"/>
  <c r="AE13" i="14"/>
  <c r="AE14" i="14" s="1"/>
  <c r="AQ10" i="14"/>
  <c r="BO10" i="14"/>
  <c r="BO13" i="14" s="1"/>
  <c r="BO11" i="14"/>
  <c r="BO14" i="14"/>
  <c r="BG14" i="14"/>
  <c r="BG11" i="14"/>
  <c r="BG10" i="14"/>
  <c r="BG13" i="14" s="1"/>
  <c r="AZ10" i="14"/>
  <c r="AZ13" i="14" s="1"/>
  <c r="AZ14" i="14" s="1"/>
  <c r="AZ11" i="14"/>
  <c r="BH11" i="14"/>
  <c r="BH10" i="14"/>
  <c r="BH13" i="14" s="1"/>
  <c r="BH14" i="14" s="1"/>
  <c r="BI14" i="14"/>
  <c r="BI11" i="14"/>
  <c r="BI10" i="14"/>
  <c r="BI13" i="14" s="1"/>
  <c r="AD19" i="14"/>
  <c r="AD17" i="14"/>
  <c r="AD20" i="14"/>
  <c r="AD18" i="14"/>
  <c r="AS10" i="14"/>
  <c r="AS13" i="14" s="1"/>
  <c r="AS14" i="14" s="1"/>
  <c r="AS11" i="14"/>
  <c r="BR11" i="14"/>
  <c r="BK14" i="14"/>
  <c r="BK11" i="14"/>
  <c r="BK10" i="14"/>
  <c r="BK13" i="14" s="1"/>
  <c r="BA10" i="14"/>
  <c r="BA13" i="14" s="1"/>
  <c r="BA14" i="14" s="1"/>
  <c r="BA11" i="14"/>
  <c r="AP19" i="14"/>
  <c r="AP17" i="14"/>
  <c r="AP20" i="14"/>
  <c r="AP18" i="14"/>
  <c r="AO19" i="14"/>
  <c r="AO17" i="14"/>
  <c r="AO20" i="14"/>
  <c r="AO18" i="14"/>
  <c r="AU14" i="14"/>
  <c r="AU11" i="14"/>
  <c r="AU10" i="14"/>
  <c r="AU13" i="14" s="1"/>
  <c r="BJ14" i="14"/>
  <c r="BJ11" i="14"/>
  <c r="BJ10" i="14"/>
  <c r="BJ13" i="14" s="1"/>
  <c r="BL10" i="14"/>
  <c r="BL13" i="14" s="1"/>
  <c r="BL14" i="14" s="1"/>
  <c r="BL11" i="14"/>
  <c r="BB10" i="14"/>
  <c r="BB13" i="14" s="1"/>
  <c r="BB14" i="14" s="1"/>
  <c r="BB11" i="14"/>
  <c r="BP10" i="14"/>
  <c r="BP13" i="14" s="1"/>
  <c r="BP14" i="14"/>
  <c r="BP11" i="14"/>
  <c r="BC10" i="14"/>
  <c r="BC13" i="14" s="1"/>
  <c r="BC14" i="14" s="1"/>
  <c r="BC11" i="14"/>
  <c r="O76" i="4"/>
  <c r="AP79" i="4" l="1"/>
  <c r="E66" i="23" s="1"/>
  <c r="F32" i="23"/>
  <c r="O17" i="23"/>
  <c r="O18" i="23" s="1"/>
  <c r="O22" i="23"/>
  <c r="E32" i="23"/>
  <c r="AX72" i="4"/>
  <c r="K61" i="4"/>
  <c r="AB54" i="4"/>
  <c r="AC54" i="4" s="1"/>
  <c r="D41" i="23" s="1"/>
  <c r="AB56" i="4"/>
  <c r="AC56" i="4" s="1"/>
  <c r="D43" i="23" s="1"/>
  <c r="AD19" i="4"/>
  <c r="AD54" i="4" s="1"/>
  <c r="AB22" i="4"/>
  <c r="AC19" i="4"/>
  <c r="D15" i="23" s="1"/>
  <c r="D16" i="23"/>
  <c r="AD21" i="4"/>
  <c r="AD56" i="4" s="1"/>
  <c r="AC21" i="4"/>
  <c r="D17" i="23" s="1"/>
  <c r="H96" i="4"/>
  <c r="P60" i="4"/>
  <c r="C47" i="23" s="1"/>
  <c r="C48" i="23" s="1"/>
  <c r="P98" i="4"/>
  <c r="C84" i="23" s="1"/>
  <c r="U79" i="4"/>
  <c r="T87" i="4"/>
  <c r="BI42" i="4"/>
  <c r="AP46" i="4"/>
  <c r="E36" i="23" s="1"/>
  <c r="H22" i="23"/>
  <c r="Q16" i="23" s="1"/>
  <c r="AW79" i="4"/>
  <c r="AX79" i="4" s="1"/>
  <c r="AY79" i="4" s="1"/>
  <c r="AZ79" i="4" s="1"/>
  <c r="BA79" i="4" s="1"/>
  <c r="BB79" i="4" s="1"/>
  <c r="AZ42" i="4"/>
  <c r="AC80" i="4"/>
  <c r="C63" i="23"/>
  <c r="AO42" i="4"/>
  <c r="BQ26" i="4"/>
  <c r="BG42" i="4"/>
  <c r="B21" i="9"/>
  <c r="AG81" i="4"/>
  <c r="U93" i="4"/>
  <c r="AP42" i="4"/>
  <c r="BH42" i="4"/>
  <c r="U57" i="4"/>
  <c r="U60" i="4" s="1"/>
  <c r="D182" i="4"/>
  <c r="R76" i="4"/>
  <c r="BF20" i="14"/>
  <c r="BF18" i="14"/>
  <c r="BF17" i="14"/>
  <c r="BF19" i="14"/>
  <c r="BC17" i="14"/>
  <c r="BC20" i="14"/>
  <c r="BC18" i="14"/>
  <c r="BC19" i="14"/>
  <c r="BL19" i="14"/>
  <c r="BL17" i="14"/>
  <c r="BL20" i="14"/>
  <c r="BL18" i="14"/>
  <c r="BH18" i="14"/>
  <c r="BH19" i="14"/>
  <c r="BH20" i="14"/>
  <c r="BH17" i="14"/>
  <c r="AS20" i="14"/>
  <c r="AS18" i="14"/>
  <c r="AS17" i="14"/>
  <c r="AS19" i="14"/>
  <c r="BN19" i="14"/>
  <c r="BN17" i="14"/>
  <c r="BN20" i="14"/>
  <c r="BN18" i="14"/>
  <c r="AT20" i="14"/>
  <c r="AT18" i="14"/>
  <c r="AT17" i="14"/>
  <c r="AT19" i="14"/>
  <c r="AZ19" i="14"/>
  <c r="AZ17" i="14"/>
  <c r="AZ20" i="14"/>
  <c r="AZ18" i="14"/>
  <c r="BA19" i="14"/>
  <c r="BA17" i="14"/>
  <c r="BA20" i="14"/>
  <c r="BA18" i="14"/>
  <c r="BB19" i="14"/>
  <c r="BB17" i="14"/>
  <c r="BB20" i="14"/>
  <c r="BB18" i="14"/>
  <c r="AY19" i="14"/>
  <c r="AY17" i="14"/>
  <c r="AY18" i="14"/>
  <c r="AY20" i="14"/>
  <c r="BK19" i="14"/>
  <c r="BK17" i="14"/>
  <c r="BK18" i="14"/>
  <c r="BK20" i="14"/>
  <c r="BJ19" i="14"/>
  <c r="BJ17" i="14"/>
  <c r="BJ20" i="14"/>
  <c r="BJ18" i="14"/>
  <c r="BP17" i="14"/>
  <c r="BP20" i="14"/>
  <c r="BP18" i="14"/>
  <c r="BP19" i="14"/>
  <c r="BQ10" i="14"/>
  <c r="BQ13" i="14" s="1"/>
  <c r="BQ14" i="14"/>
  <c r="BO17" i="14"/>
  <c r="BO20" i="14"/>
  <c r="BO18" i="14"/>
  <c r="BO19" i="14"/>
  <c r="AX19" i="14"/>
  <c r="AX17" i="14"/>
  <c r="AX18" i="14"/>
  <c r="AX20" i="14"/>
  <c r="AV18" i="14"/>
  <c r="AV19" i="14"/>
  <c r="AV20" i="14"/>
  <c r="AV17" i="14"/>
  <c r="P76" i="4"/>
  <c r="BE20" i="14"/>
  <c r="BE18" i="14"/>
  <c r="BE17" i="14"/>
  <c r="BE19" i="14"/>
  <c r="AW18" i="14"/>
  <c r="AW19" i="14"/>
  <c r="AW17" i="14"/>
  <c r="AW20" i="14"/>
  <c r="BD10" i="14"/>
  <c r="BD13" i="14" s="1"/>
  <c r="BD14" i="14"/>
  <c r="M6" i="11"/>
  <c r="M7" i="11" s="1"/>
  <c r="M8" i="11" s="1"/>
  <c r="L10" i="11"/>
  <c r="L12" i="11" s="1"/>
  <c r="L16" i="11" s="1"/>
  <c r="L19" i="11" s="1"/>
  <c r="M5" i="11"/>
  <c r="BR6" i="14"/>
  <c r="BM19" i="14"/>
  <c r="BM17" i="14"/>
  <c r="BM20" i="14"/>
  <c r="BM18" i="14"/>
  <c r="AR17" i="14"/>
  <c r="AR20" i="14"/>
  <c r="AR18" i="14"/>
  <c r="AR19" i="14"/>
  <c r="AU20" i="14"/>
  <c r="AU18" i="14"/>
  <c r="AU19" i="14"/>
  <c r="AU17" i="14"/>
  <c r="AQ13" i="14"/>
  <c r="AQ14" i="14" s="1"/>
  <c r="BR10" i="14"/>
  <c r="BR13" i="14" s="1"/>
  <c r="D16" i="9"/>
  <c r="BG20" i="14"/>
  <c r="BG18" i="14"/>
  <c r="BG19" i="14"/>
  <c r="BG17" i="14"/>
  <c r="AE17" i="14"/>
  <c r="AE20" i="14"/>
  <c r="AE18" i="14"/>
  <c r="AE19" i="14"/>
  <c r="BI18" i="14"/>
  <c r="BI19" i="14"/>
  <c r="BI17" i="14"/>
  <c r="BI20" i="14"/>
  <c r="M10" i="23" l="1"/>
  <c r="M11" i="23"/>
  <c r="M9" i="23"/>
  <c r="D18" i="23"/>
  <c r="M25" i="23"/>
  <c r="M23" i="23"/>
  <c r="N22" i="23"/>
  <c r="AY72" i="4"/>
  <c r="BC79" i="4"/>
  <c r="F66" i="23" s="1"/>
  <c r="AE21" i="4"/>
  <c r="AE19" i="4"/>
  <c r="AD22" i="4"/>
  <c r="P61" i="4"/>
  <c r="BK42" i="4"/>
  <c r="BM42" i="4"/>
  <c r="V79" i="4"/>
  <c r="U87" i="4"/>
  <c r="BP74" i="4"/>
  <c r="G61" i="23" s="1"/>
  <c r="H61" i="23" s="1"/>
  <c r="BC42" i="4"/>
  <c r="D67" i="23"/>
  <c r="AE80" i="4"/>
  <c r="AD87" i="4"/>
  <c r="B22" i="9"/>
  <c r="AH81" i="4"/>
  <c r="V93" i="4"/>
  <c r="T61" i="4"/>
  <c r="V57" i="4"/>
  <c r="V60" i="4" s="1"/>
  <c r="D183" i="4"/>
  <c r="S76" i="4"/>
  <c r="C43" i="3"/>
  <c r="D17" i="9"/>
  <c r="BR14" i="14"/>
  <c r="AQ17" i="14"/>
  <c r="AQ20" i="14"/>
  <c r="AQ18" i="14"/>
  <c r="AQ19" i="14"/>
  <c r="M10" i="11"/>
  <c r="M12" i="11" s="1"/>
  <c r="M16" i="11" s="1"/>
  <c r="M19" i="11" s="1"/>
  <c r="N5" i="11"/>
  <c r="N6" i="11"/>
  <c r="N7" i="11" s="1"/>
  <c r="N8" i="11" s="1"/>
  <c r="BQ20" i="14"/>
  <c r="BQ18" i="14"/>
  <c r="BQ17" i="14"/>
  <c r="BQ19" i="14"/>
  <c r="BD17" i="14"/>
  <c r="BD20" i="14"/>
  <c r="BD18" i="14"/>
  <c r="BD19" i="14"/>
  <c r="M12" i="23" l="1"/>
  <c r="AZ72" i="4"/>
  <c r="AE54" i="4"/>
  <c r="AE56" i="4"/>
  <c r="AD57" i="4"/>
  <c r="AD60" i="4" s="1"/>
  <c r="AD61" i="4" s="1"/>
  <c r="D190" i="4"/>
  <c r="AF21" i="4"/>
  <c r="AF56" i="4" s="1"/>
  <c r="AF19" i="4"/>
  <c r="AF54" i="4" s="1"/>
  <c r="AE22" i="4"/>
  <c r="D191" i="4" s="1"/>
  <c r="B31" i="9" s="1"/>
  <c r="BC98" i="4"/>
  <c r="F84" i="23" s="1"/>
  <c r="BP7" i="4"/>
  <c r="G7" i="23" s="1"/>
  <c r="P7" i="23" s="1"/>
  <c r="AP98" i="4"/>
  <c r="E84" i="23" s="1"/>
  <c r="BQ74" i="4"/>
  <c r="W79" i="4"/>
  <c r="V87" i="4"/>
  <c r="AF80" i="4"/>
  <c r="AE87" i="4"/>
  <c r="U61" i="4"/>
  <c r="AI81" i="4"/>
  <c r="B23" i="9"/>
  <c r="W93" i="4"/>
  <c r="BL42" i="4"/>
  <c r="G31" i="23"/>
  <c r="H31" i="23" s="1"/>
  <c r="D184" i="4"/>
  <c r="V61" i="4"/>
  <c r="W57" i="4"/>
  <c r="W60" i="4" s="1"/>
  <c r="T76" i="4"/>
  <c r="D43" i="3"/>
  <c r="D18" i="9"/>
  <c r="BR20" i="14"/>
  <c r="BR18" i="14"/>
  <c r="BR17" i="14"/>
  <c r="BR19" i="14"/>
  <c r="O6" i="11"/>
  <c r="O7" i="11" s="1"/>
  <c r="O8" i="11" s="1"/>
  <c r="N10" i="11"/>
  <c r="N12" i="11" s="1"/>
  <c r="N16" i="11" s="1"/>
  <c r="N19" i="11" s="1"/>
  <c r="O5" i="11"/>
  <c r="C40" i="3"/>
  <c r="H7" i="23" l="1"/>
  <c r="Q7" i="23" s="1"/>
  <c r="BA72" i="4"/>
  <c r="AG21" i="4"/>
  <c r="AG56" i="4" s="1"/>
  <c r="B30" i="9"/>
  <c r="AE57" i="4"/>
  <c r="AE60" i="4" s="1"/>
  <c r="AE61" i="4" s="1"/>
  <c r="AG19" i="4"/>
  <c r="AF57" i="4"/>
  <c r="AF22" i="4"/>
  <c r="BQ7" i="4"/>
  <c r="BN42" i="4"/>
  <c r="BP34" i="4"/>
  <c r="X79" i="4"/>
  <c r="W87" i="4"/>
  <c r="AG80" i="4"/>
  <c r="AF87" i="4"/>
  <c r="B24" i="9"/>
  <c r="AJ81" i="4"/>
  <c r="X93" i="4"/>
  <c r="X57" i="4"/>
  <c r="X60" i="4" s="1"/>
  <c r="D185" i="4"/>
  <c r="U76" i="4"/>
  <c r="E43" i="3"/>
  <c r="AC68" i="4"/>
  <c r="D55" i="23" s="1"/>
  <c r="P5" i="11"/>
  <c r="O10" i="11"/>
  <c r="O12" i="11" s="1"/>
  <c r="O16" i="11" s="1"/>
  <c r="O19" i="11" s="1"/>
  <c r="P6" i="11"/>
  <c r="P7" i="11" s="1"/>
  <c r="P8" i="11" s="1"/>
  <c r="C41" i="3"/>
  <c r="C42" i="3"/>
  <c r="D66" i="4"/>
  <c r="D40" i="3"/>
  <c r="D19" i="9"/>
  <c r="BP42" i="4" l="1"/>
  <c r="G27" i="23"/>
  <c r="P17" i="23" s="1"/>
  <c r="P18" i="23" s="1"/>
  <c r="BB72" i="4"/>
  <c r="BC72" i="4"/>
  <c r="AG54" i="4"/>
  <c r="AH19" i="4"/>
  <c r="AG22" i="4"/>
  <c r="D192" i="4"/>
  <c r="AF60" i="4"/>
  <c r="AF61" i="4" s="1"/>
  <c r="AH21" i="4"/>
  <c r="BQ34" i="4"/>
  <c r="BQ42" i="4" s="1"/>
  <c r="BP46" i="4"/>
  <c r="Y79" i="4"/>
  <c r="X87" i="4"/>
  <c r="AH80" i="4"/>
  <c r="AG87" i="4"/>
  <c r="B25" i="9"/>
  <c r="AK81" i="4"/>
  <c r="Y93" i="4"/>
  <c r="Y57" i="4"/>
  <c r="Y60" i="4" s="1"/>
  <c r="D186" i="4"/>
  <c r="X61" i="4"/>
  <c r="W61" i="4"/>
  <c r="V76" i="4"/>
  <c r="F43" i="3"/>
  <c r="O43" i="3"/>
  <c r="C44" i="3"/>
  <c r="C74" i="3" s="1"/>
  <c r="D20" i="9"/>
  <c r="E40" i="3"/>
  <c r="C76" i="3"/>
  <c r="D41" i="3"/>
  <c r="D42" i="3"/>
  <c r="R5" i="11"/>
  <c r="R8" i="11" s="1"/>
  <c r="P10" i="11"/>
  <c r="P12" i="11" s="1"/>
  <c r="P16" i="11" s="1"/>
  <c r="P19" i="11" s="1"/>
  <c r="E66" i="4"/>
  <c r="D69" i="4"/>
  <c r="H27" i="23" l="1"/>
  <c r="G32" i="23"/>
  <c r="F59" i="23"/>
  <c r="BD72" i="4"/>
  <c r="AH54" i="4"/>
  <c r="AH56" i="4"/>
  <c r="D101" i="4"/>
  <c r="D103" i="4" s="1"/>
  <c r="E166" i="4" s="1"/>
  <c r="AI21" i="4"/>
  <c r="AI56" i="4" s="1"/>
  <c r="AG57" i="4"/>
  <c r="AG60" i="4" s="1"/>
  <c r="B32" i="9"/>
  <c r="AI19" i="4"/>
  <c r="AI54" i="4" s="1"/>
  <c r="AH22" i="4"/>
  <c r="D193" i="4"/>
  <c r="B33" i="9" s="1"/>
  <c r="BQ46" i="4"/>
  <c r="G36" i="23"/>
  <c r="Z79" i="4"/>
  <c r="Y87" i="4"/>
  <c r="AI80" i="4"/>
  <c r="AH87" i="4"/>
  <c r="B26" i="9"/>
  <c r="AL81" i="4"/>
  <c r="Z93" i="4"/>
  <c r="Z57" i="4"/>
  <c r="Z60" i="4" s="1"/>
  <c r="D187" i="4"/>
  <c r="W76" i="4"/>
  <c r="G43" i="3"/>
  <c r="E69" i="4"/>
  <c r="E41" i="3"/>
  <c r="E42" i="3"/>
  <c r="O42" i="3" s="1"/>
  <c r="O40" i="3"/>
  <c r="S5" i="11"/>
  <c r="S6" i="11"/>
  <c r="S7" i="11" s="1"/>
  <c r="S8" i="11" s="1"/>
  <c r="R10" i="11"/>
  <c r="R12" i="11" s="1"/>
  <c r="R16" i="11" s="1"/>
  <c r="R19" i="11" s="1"/>
  <c r="D44" i="3"/>
  <c r="D74" i="3" s="1"/>
  <c r="F66" i="4"/>
  <c r="D21" i="9"/>
  <c r="F40" i="3"/>
  <c r="P22" i="23" l="1"/>
  <c r="H32" i="23"/>
  <c r="Q17" i="23"/>
  <c r="Q18" i="23" s="1"/>
  <c r="BE72" i="4"/>
  <c r="AH57" i="4"/>
  <c r="AH60" i="4" s="1"/>
  <c r="AG61" i="4"/>
  <c r="D194" i="4"/>
  <c r="B34" i="9" s="1"/>
  <c r="AJ19" i="4"/>
  <c r="AJ54" i="4" s="1"/>
  <c r="AI22" i="4"/>
  <c r="AJ21" i="4"/>
  <c r="H36" i="23"/>
  <c r="AA79" i="4"/>
  <c r="Z87" i="4"/>
  <c r="BP98" i="4"/>
  <c r="BQ98" i="4" s="1"/>
  <c r="AJ80" i="4"/>
  <c r="AI87" i="4"/>
  <c r="E101" i="4"/>
  <c r="E103" i="4" s="1"/>
  <c r="E167" i="4" s="1"/>
  <c r="C6" i="9"/>
  <c r="H6" i="9" s="1"/>
  <c r="F166" i="4"/>
  <c r="B27" i="9"/>
  <c r="AM81" i="4"/>
  <c r="AC90" i="4"/>
  <c r="D77" i="23" s="1"/>
  <c r="AA93" i="4"/>
  <c r="Y61" i="4"/>
  <c r="AA57" i="4"/>
  <c r="AA60" i="4" s="1"/>
  <c r="D188" i="4"/>
  <c r="Z61" i="4"/>
  <c r="X76" i="4"/>
  <c r="H43" i="3"/>
  <c r="P43" i="3" s="1"/>
  <c r="P68" i="4"/>
  <c r="I43" i="3"/>
  <c r="Q43" i="3" s="1"/>
  <c r="E44" i="3"/>
  <c r="E74" i="3" s="1"/>
  <c r="T5" i="11"/>
  <c r="T6" i="11"/>
  <c r="T7" i="11" s="1"/>
  <c r="T8" i="11" s="1"/>
  <c r="S10" i="11"/>
  <c r="S12" i="11" s="1"/>
  <c r="S16" i="11" s="1"/>
  <c r="S19" i="11" s="1"/>
  <c r="D22" i="9"/>
  <c r="F42" i="3"/>
  <c r="F41" i="3"/>
  <c r="F44" i="3" s="1"/>
  <c r="F74" i="3" s="1"/>
  <c r="G66" i="4"/>
  <c r="O41" i="3"/>
  <c r="O44" i="3" s="1"/>
  <c r="G40" i="3"/>
  <c r="D76" i="3"/>
  <c r="O74" i="3"/>
  <c r="F69" i="4"/>
  <c r="Q22" i="23" l="1"/>
  <c r="BF72" i="4"/>
  <c r="AJ56" i="4"/>
  <c r="AK19" i="4"/>
  <c r="AK54" i="4" s="1"/>
  <c r="AJ22" i="4"/>
  <c r="AI57" i="4"/>
  <c r="AI60" i="4" s="1"/>
  <c r="AI61" i="4" s="1"/>
  <c r="AH61" i="4"/>
  <c r="D195" i="4"/>
  <c r="AK21" i="4"/>
  <c r="AK56" i="4" s="1"/>
  <c r="AB79" i="4"/>
  <c r="AA87" i="4"/>
  <c r="G84" i="23"/>
  <c r="H84" i="23" s="1"/>
  <c r="BQ68" i="4"/>
  <c r="C55" i="23"/>
  <c r="H55" i="23" s="1"/>
  <c r="AK80" i="4"/>
  <c r="AJ87" i="4"/>
  <c r="D80" i="23"/>
  <c r="F167" i="4"/>
  <c r="C7" i="9"/>
  <c r="H7" i="9" s="1"/>
  <c r="F101" i="4"/>
  <c r="F103" i="4" s="1"/>
  <c r="E168" i="4" s="1"/>
  <c r="E6" i="9"/>
  <c r="F6" i="9" s="1"/>
  <c r="B28" i="9"/>
  <c r="AN81" i="4"/>
  <c r="AC93" i="4"/>
  <c r="AB93" i="4"/>
  <c r="AC22" i="4"/>
  <c r="D189" i="4"/>
  <c r="AA61" i="4"/>
  <c r="Y76" i="4"/>
  <c r="E76" i="3"/>
  <c r="S43" i="3"/>
  <c r="U5" i="11"/>
  <c r="U6" i="11"/>
  <c r="U7" i="11" s="1"/>
  <c r="U8" i="11" s="1"/>
  <c r="T10" i="11"/>
  <c r="T12" i="11" s="1"/>
  <c r="T16" i="11" s="1"/>
  <c r="T19" i="11" s="1"/>
  <c r="H66" i="4"/>
  <c r="G69" i="4"/>
  <c r="G41" i="3"/>
  <c r="G42" i="3"/>
  <c r="D23" i="9"/>
  <c r="O76" i="3"/>
  <c r="H40" i="3"/>
  <c r="P40" i="3" s="1"/>
  <c r="F76" i="3"/>
  <c r="AB87" i="4" l="1"/>
  <c r="BG72" i="4"/>
  <c r="BH72" i="4" s="1"/>
  <c r="D196" i="4"/>
  <c r="B36" i="9" s="1"/>
  <c r="AJ57" i="4"/>
  <c r="AJ60" i="4" s="1"/>
  <c r="B35" i="9"/>
  <c r="AL21" i="4"/>
  <c r="AL56" i="4" s="1"/>
  <c r="AC79" i="4"/>
  <c r="AC87" i="4" s="1"/>
  <c r="AL19" i="4"/>
  <c r="AL54" i="4" s="1"/>
  <c r="AK22" i="4"/>
  <c r="D197" i="4" s="1"/>
  <c r="B37" i="9" s="1"/>
  <c r="AB57" i="4"/>
  <c r="AB60" i="4" s="1"/>
  <c r="D42" i="23"/>
  <c r="AL80" i="4"/>
  <c r="AK87" i="4"/>
  <c r="E7" i="9"/>
  <c r="F7" i="9" s="1"/>
  <c r="C8" i="9"/>
  <c r="H8" i="9" s="1"/>
  <c r="F168" i="4"/>
  <c r="G101" i="4"/>
  <c r="G103" i="4" s="1"/>
  <c r="E169" i="4" s="1"/>
  <c r="AO81" i="4"/>
  <c r="B29" i="9"/>
  <c r="G189" i="4"/>
  <c r="AE90" i="4"/>
  <c r="AD93" i="4"/>
  <c r="Z76" i="4"/>
  <c r="H69" i="4"/>
  <c r="V5" i="11"/>
  <c r="V6" i="11"/>
  <c r="V7" i="11" s="1"/>
  <c r="V8" i="11" s="1"/>
  <c r="U10" i="11"/>
  <c r="U12" i="11" s="1"/>
  <c r="U16" i="11" s="1"/>
  <c r="U19" i="11" s="1"/>
  <c r="D24" i="9"/>
  <c r="I40" i="3"/>
  <c r="G44" i="3"/>
  <c r="G74" i="3" s="1"/>
  <c r="I66" i="4"/>
  <c r="H42" i="3"/>
  <c r="H41" i="3"/>
  <c r="P41" i="3" s="1"/>
  <c r="M24" i="23" l="1"/>
  <c r="M26" i="23" s="1"/>
  <c r="M29" i="23" s="1"/>
  <c r="M30" i="23" s="1"/>
  <c r="D44" i="23"/>
  <c r="D66" i="23"/>
  <c r="D74" i="23" s="1"/>
  <c r="AF90" i="4"/>
  <c r="AG90" i="4" s="1"/>
  <c r="AH90" i="4" s="1"/>
  <c r="BI72" i="4"/>
  <c r="BQ79" i="4"/>
  <c r="AJ61" i="4"/>
  <c r="AM21" i="4"/>
  <c r="AM56" i="4" s="1"/>
  <c r="AK57" i="4"/>
  <c r="AK60" i="4" s="1"/>
  <c r="AK61" i="4" s="1"/>
  <c r="AM19" i="4"/>
  <c r="AM54" i="4" s="1"/>
  <c r="AL22" i="4"/>
  <c r="D198" i="4" s="1"/>
  <c r="AM80" i="4"/>
  <c r="AL87" i="4"/>
  <c r="E8" i="9"/>
  <c r="F8" i="9" s="1"/>
  <c r="F169" i="4"/>
  <c r="C9" i="9"/>
  <c r="H9" i="9" s="1"/>
  <c r="H101" i="4"/>
  <c r="H103" i="4" s="1"/>
  <c r="E170" i="4" s="1"/>
  <c r="AC57" i="4"/>
  <c r="AQ81" i="4"/>
  <c r="AP81" i="4"/>
  <c r="E68" i="23" s="1"/>
  <c r="AE93" i="4"/>
  <c r="AB61" i="4"/>
  <c r="AC60" i="4"/>
  <c r="AA76" i="4"/>
  <c r="I69" i="4"/>
  <c r="I42" i="3"/>
  <c r="I41" i="3"/>
  <c r="J40" i="3"/>
  <c r="W5" i="11"/>
  <c r="W6" i="11"/>
  <c r="W7" i="11" s="1"/>
  <c r="W8" i="11" s="1"/>
  <c r="V10" i="11"/>
  <c r="V12" i="11" s="1"/>
  <c r="V16" i="11" s="1"/>
  <c r="V19" i="11" s="1"/>
  <c r="J66" i="4"/>
  <c r="G76" i="3"/>
  <c r="D25" i="9"/>
  <c r="H44" i="3"/>
  <c r="H74" i="3" s="1"/>
  <c r="P42" i="3"/>
  <c r="P44" i="3" s="1"/>
  <c r="H66" i="23" l="1"/>
  <c r="BJ72" i="4"/>
  <c r="BK72" i="4" s="1"/>
  <c r="BL72" i="4" s="1"/>
  <c r="BM72" i="4" s="1"/>
  <c r="BN72" i="4" s="1"/>
  <c r="BO72" i="4" s="1"/>
  <c r="AI90" i="4"/>
  <c r="AJ90" i="4" s="1"/>
  <c r="AK90" i="4" s="1"/>
  <c r="AL90" i="4" s="1"/>
  <c r="AM90" i="4" s="1"/>
  <c r="AN90" i="4" s="1"/>
  <c r="AO90" i="4" s="1"/>
  <c r="AL57" i="4"/>
  <c r="AL60" i="4" s="1"/>
  <c r="AL61" i="4" s="1"/>
  <c r="B38" i="9"/>
  <c r="AN21" i="4"/>
  <c r="AN19" i="4"/>
  <c r="AN54" i="4" s="1"/>
  <c r="AM22" i="4"/>
  <c r="AN80" i="4"/>
  <c r="AM87" i="4"/>
  <c r="AC76" i="4"/>
  <c r="D47" i="23"/>
  <c r="E9" i="9"/>
  <c r="F9" i="9" s="1"/>
  <c r="F170" i="4"/>
  <c r="C10" i="9"/>
  <c r="H10" i="9" s="1"/>
  <c r="AR81" i="4"/>
  <c r="AF93" i="4"/>
  <c r="AC61" i="4"/>
  <c r="AB76" i="4"/>
  <c r="I44" i="3"/>
  <c r="I74" i="3" s="1"/>
  <c r="I76" i="3" s="1"/>
  <c r="J69" i="4"/>
  <c r="K40" i="3"/>
  <c r="K66" i="4"/>
  <c r="X5" i="11"/>
  <c r="X6" i="11"/>
  <c r="X7" i="11" s="1"/>
  <c r="X8" i="11" s="1"/>
  <c r="W10" i="11"/>
  <c r="W12" i="11" s="1"/>
  <c r="W16" i="11" s="1"/>
  <c r="W19" i="11" s="1"/>
  <c r="J42" i="3"/>
  <c r="J41" i="3"/>
  <c r="D26" i="9"/>
  <c r="H76" i="3"/>
  <c r="P76" i="3" s="1"/>
  <c r="P74" i="3"/>
  <c r="BP72" i="4" l="1"/>
  <c r="G59" i="23"/>
  <c r="H59" i="23" s="1"/>
  <c r="BQ72" i="4"/>
  <c r="AN56" i="4"/>
  <c r="AM57" i="4"/>
  <c r="AM60" i="4" s="1"/>
  <c r="AO19" i="4"/>
  <c r="AN22" i="4"/>
  <c r="D200" i="4" s="1"/>
  <c r="B40" i="9" s="1"/>
  <c r="D199" i="4"/>
  <c r="AO21" i="4"/>
  <c r="AO56" i="4" s="1"/>
  <c r="D63" i="23"/>
  <c r="AO80" i="4"/>
  <c r="AN87" i="4"/>
  <c r="D48" i="23"/>
  <c r="E10" i="9"/>
  <c r="F10" i="9" s="1"/>
  <c r="AS81" i="4"/>
  <c r="AG93" i="4"/>
  <c r="AD76" i="4"/>
  <c r="J44" i="3"/>
  <c r="J74" i="3" s="1"/>
  <c r="J76" i="3" s="1"/>
  <c r="K69" i="4"/>
  <c r="L40" i="3"/>
  <c r="D27" i="9"/>
  <c r="K42" i="3"/>
  <c r="Q42" i="3" s="1"/>
  <c r="K41" i="3"/>
  <c r="Q41" i="3" s="1"/>
  <c r="Y5" i="11"/>
  <c r="Y6" i="11"/>
  <c r="Y7" i="11" s="1"/>
  <c r="X10" i="11"/>
  <c r="X12" i="11" s="1"/>
  <c r="X16" i="11" s="1"/>
  <c r="X19" i="11" s="1"/>
  <c r="L66" i="4"/>
  <c r="Q40" i="3"/>
  <c r="AO54" i="4" l="1"/>
  <c r="B39" i="9"/>
  <c r="AM61" i="4"/>
  <c r="AQ21" i="4"/>
  <c r="AQ56" i="4" s="1"/>
  <c r="AP56" i="4"/>
  <c r="E43" i="23" s="1"/>
  <c r="AP21" i="4"/>
  <c r="E17" i="23" s="1"/>
  <c r="E42" i="23"/>
  <c r="E16" i="23"/>
  <c r="AN57" i="4"/>
  <c r="AN60" i="4" s="1"/>
  <c r="AN61" i="4" s="1"/>
  <c r="AQ19" i="4"/>
  <c r="AQ54" i="4" s="1"/>
  <c r="AO22" i="4"/>
  <c r="AP19" i="4"/>
  <c r="E15" i="23" s="1"/>
  <c r="AP80" i="4"/>
  <c r="AO87" i="4"/>
  <c r="AT81" i="4"/>
  <c r="AH93" i="4"/>
  <c r="AE76" i="4"/>
  <c r="L69" i="4"/>
  <c r="Q44" i="3"/>
  <c r="M40" i="3"/>
  <c r="D28" i="9"/>
  <c r="M66" i="4"/>
  <c r="Y8" i="11"/>
  <c r="L42" i="3"/>
  <c r="L41" i="3"/>
  <c r="K44" i="3"/>
  <c r="K74" i="3" s="1"/>
  <c r="N11" i="23" l="1"/>
  <c r="N24" i="23"/>
  <c r="N25" i="23"/>
  <c r="N10" i="23"/>
  <c r="N9" i="23"/>
  <c r="E18" i="23"/>
  <c r="AR21" i="4"/>
  <c r="AR56" i="4" s="1"/>
  <c r="AP22" i="4"/>
  <c r="D201" i="4"/>
  <c r="AO57" i="4"/>
  <c r="AO60" i="4" s="1"/>
  <c r="AP54" i="4"/>
  <c r="E41" i="23" s="1"/>
  <c r="AR19" i="4"/>
  <c r="AR54" i="4" s="1"/>
  <c r="AQ22" i="4"/>
  <c r="D202" i="4" s="1"/>
  <c r="E67" i="23"/>
  <c r="AP87" i="4"/>
  <c r="AR80" i="4"/>
  <c r="AQ87" i="4"/>
  <c r="AU81" i="4"/>
  <c r="AI93" i="4"/>
  <c r="AF76" i="4"/>
  <c r="M69" i="4"/>
  <c r="N40" i="3"/>
  <c r="D29" i="9"/>
  <c r="K76" i="3"/>
  <c r="Q76" i="3" s="1"/>
  <c r="Q74" i="3"/>
  <c r="N66" i="4"/>
  <c r="L44" i="3"/>
  <c r="L74" i="3" s="1"/>
  <c r="Z6" i="11"/>
  <c r="Z7" i="11" s="1"/>
  <c r="Z8" i="11" s="1"/>
  <c r="Y10" i="11"/>
  <c r="Y12" i="11" s="1"/>
  <c r="Y16" i="11" s="1"/>
  <c r="Y19" i="11" s="1"/>
  <c r="Z5" i="11"/>
  <c r="M41" i="3"/>
  <c r="M42" i="3"/>
  <c r="N12" i="23" l="1"/>
  <c r="N23" i="23"/>
  <c r="N26" i="23" s="1"/>
  <c r="E44" i="23"/>
  <c r="AO61" i="4"/>
  <c r="AP60" i="4"/>
  <c r="AS21" i="4"/>
  <c r="AS56" i="4" s="1"/>
  <c r="B41" i="9"/>
  <c r="G201" i="4"/>
  <c r="AQ57" i="4"/>
  <c r="AQ60" i="4" s="1"/>
  <c r="AP57" i="4"/>
  <c r="AS19" i="4"/>
  <c r="AS54" i="4" s="1"/>
  <c r="AR22" i="4"/>
  <c r="B42" i="9"/>
  <c r="E74" i="23"/>
  <c r="AS80" i="4"/>
  <c r="AR87" i="4"/>
  <c r="AV81" i="4"/>
  <c r="AJ93" i="4"/>
  <c r="AG76" i="4"/>
  <c r="M44" i="3"/>
  <c r="M74" i="3" s="1"/>
  <c r="N69" i="4"/>
  <c r="L76" i="3"/>
  <c r="D30" i="9"/>
  <c r="N41" i="3"/>
  <c r="N42" i="3"/>
  <c r="S40" i="3"/>
  <c r="O66" i="4"/>
  <c r="P65" i="4"/>
  <c r="C52" i="23" s="1"/>
  <c r="R40" i="3"/>
  <c r="Z10" i="11"/>
  <c r="Z12" i="11" s="1"/>
  <c r="Z16" i="11" s="1"/>
  <c r="Z19" i="11" s="1"/>
  <c r="AA5" i="11"/>
  <c r="AA6" i="11"/>
  <c r="AA7" i="11" s="1"/>
  <c r="AA8" i="11" s="1"/>
  <c r="N29" i="23" l="1"/>
  <c r="N30" i="23" s="1"/>
  <c r="AR57" i="4"/>
  <c r="AR60" i="4" s="1"/>
  <c r="AR61" i="4" s="1"/>
  <c r="AQ61" i="4"/>
  <c r="AT19" i="4"/>
  <c r="AT54" i="4" s="1"/>
  <c r="AS22" i="4"/>
  <c r="D204" i="4" s="1"/>
  <c r="B44" i="9" s="1"/>
  <c r="D203" i="4"/>
  <c r="E47" i="23"/>
  <c r="AP61" i="4"/>
  <c r="AT21" i="4"/>
  <c r="AT56" i="4" s="1"/>
  <c r="AT80" i="4"/>
  <c r="AS87" i="4"/>
  <c r="P66" i="4"/>
  <c r="C53" i="23" s="1"/>
  <c r="P67" i="4"/>
  <c r="C54" i="23" s="1"/>
  <c r="AW81" i="4"/>
  <c r="AK93" i="4"/>
  <c r="AH76" i="4"/>
  <c r="M76" i="3"/>
  <c r="N44" i="3"/>
  <c r="N74" i="3" s="1"/>
  <c r="R66" i="4"/>
  <c r="Q66" i="4"/>
  <c r="N76" i="3"/>
  <c r="S76" i="3" s="1"/>
  <c r="AB6" i="11"/>
  <c r="AB7" i="11" s="1"/>
  <c r="AA10" i="11"/>
  <c r="AA12" i="11" s="1"/>
  <c r="AA16" i="11" s="1"/>
  <c r="AA19" i="11" s="1"/>
  <c r="AB5" i="11"/>
  <c r="S42" i="3"/>
  <c r="R42" i="3"/>
  <c r="D31" i="9"/>
  <c r="O69" i="4"/>
  <c r="S41" i="3"/>
  <c r="R41" i="3"/>
  <c r="B43" i="9" l="1"/>
  <c r="AS57" i="4"/>
  <c r="AS60" i="4" s="1"/>
  <c r="AS61" i="4" s="1"/>
  <c r="AU21" i="4"/>
  <c r="AU19" i="4"/>
  <c r="AU54" i="4" s="1"/>
  <c r="AT22" i="4"/>
  <c r="E48" i="23"/>
  <c r="AU80" i="4"/>
  <c r="AT87" i="4"/>
  <c r="P69" i="4"/>
  <c r="C56" i="23"/>
  <c r="AX81" i="4"/>
  <c r="R69" i="4"/>
  <c r="AL93" i="4"/>
  <c r="AI76" i="4"/>
  <c r="R76" i="3"/>
  <c r="R74" i="3"/>
  <c r="S44" i="3"/>
  <c r="S74" i="3"/>
  <c r="R44" i="3"/>
  <c r="S66" i="4"/>
  <c r="Q69" i="4"/>
  <c r="AB8" i="11"/>
  <c r="D32" i="9"/>
  <c r="AU56" i="4" l="1"/>
  <c r="AT57" i="4"/>
  <c r="AT60" i="4" s="1"/>
  <c r="AV19" i="4"/>
  <c r="AU22" i="4"/>
  <c r="AV21" i="4"/>
  <c r="D205" i="4"/>
  <c r="AV80" i="4"/>
  <c r="AU87" i="4"/>
  <c r="AY81" i="4"/>
  <c r="AM93" i="4"/>
  <c r="S69" i="4"/>
  <c r="AJ76" i="4"/>
  <c r="T66" i="4"/>
  <c r="D33" i="9"/>
  <c r="AC5" i="11"/>
  <c r="AB10" i="11"/>
  <c r="AB12" i="11" s="1"/>
  <c r="AB16" i="11" s="1"/>
  <c r="AB19" i="11" s="1"/>
  <c r="AC6" i="11"/>
  <c r="AC7" i="11" s="1"/>
  <c r="AC8" i="11" s="1"/>
  <c r="AV54" i="4" l="1"/>
  <c r="AV56" i="4"/>
  <c r="AW21" i="4"/>
  <c r="AW56" i="4" s="1"/>
  <c r="AT61" i="4"/>
  <c r="D206" i="4"/>
  <c r="B46" i="9" s="1"/>
  <c r="AU57" i="4"/>
  <c r="AU60" i="4" s="1"/>
  <c r="AW19" i="4"/>
  <c r="AW54" i="4" s="1"/>
  <c r="AV22" i="4"/>
  <c r="B45" i="9"/>
  <c r="AW80" i="4"/>
  <c r="AV87" i="4"/>
  <c r="AZ81" i="4"/>
  <c r="AN93" i="4"/>
  <c r="AK76" i="4"/>
  <c r="T69" i="4"/>
  <c r="AE5" i="11"/>
  <c r="AE6" i="11"/>
  <c r="AE7" i="11" s="1"/>
  <c r="AC10" i="11"/>
  <c r="AC12" i="11" s="1"/>
  <c r="AC16" i="11" s="1"/>
  <c r="AC19" i="11" s="1"/>
  <c r="D34" i="9"/>
  <c r="AU61" i="4" l="1"/>
  <c r="D207" i="4"/>
  <c r="AV57" i="4"/>
  <c r="AV60" i="4" s="1"/>
  <c r="AX19" i="4"/>
  <c r="AX54" i="4" s="1"/>
  <c r="AW22" i="4"/>
  <c r="AX21" i="4"/>
  <c r="AX56" i="4" s="1"/>
  <c r="AX80" i="4"/>
  <c r="AW87" i="4"/>
  <c r="BA81" i="4"/>
  <c r="AO93" i="4"/>
  <c r="AP90" i="4"/>
  <c r="E77" i="23" s="1"/>
  <c r="AL76" i="4"/>
  <c r="V66" i="4"/>
  <c r="U66" i="4"/>
  <c r="D35" i="9"/>
  <c r="AE8" i="11"/>
  <c r="AV61" i="4" l="1"/>
  <c r="B47" i="9"/>
  <c r="AY21" i="4"/>
  <c r="AY56" i="4" s="1"/>
  <c r="D208" i="4"/>
  <c r="B48" i="9" s="1"/>
  <c r="AW57" i="4"/>
  <c r="AW60" i="4" s="1"/>
  <c r="AY19" i="4"/>
  <c r="AX22" i="4"/>
  <c r="AY80" i="4"/>
  <c r="AX87" i="4"/>
  <c r="E80" i="23"/>
  <c r="BB81" i="4"/>
  <c r="AP93" i="4"/>
  <c r="AR90" i="4"/>
  <c r="AQ93" i="4"/>
  <c r="AM76" i="4"/>
  <c r="V69" i="4"/>
  <c r="U69" i="4"/>
  <c r="W66" i="4"/>
  <c r="AF5" i="11"/>
  <c r="AE10" i="11"/>
  <c r="AE12" i="11" s="1"/>
  <c r="AE16" i="11" s="1"/>
  <c r="AE19" i="11" s="1"/>
  <c r="AF6" i="11"/>
  <c r="AF7" i="11" s="1"/>
  <c r="AF8" i="11" s="1"/>
  <c r="D36" i="9"/>
  <c r="AS90" i="4" l="1"/>
  <c r="AT90" i="4" s="1"/>
  <c r="AU90" i="4" s="1"/>
  <c r="AV90" i="4" s="1"/>
  <c r="AY54" i="4"/>
  <c r="AW61" i="4"/>
  <c r="AZ21" i="4"/>
  <c r="AZ56" i="4" s="1"/>
  <c r="AX57" i="4"/>
  <c r="AX60" i="4" s="1"/>
  <c r="AX61" i="4" s="1"/>
  <c r="D209" i="4"/>
  <c r="AZ19" i="4"/>
  <c r="AZ54" i="4" s="1"/>
  <c r="AY22" i="4"/>
  <c r="AZ80" i="4"/>
  <c r="AY87" i="4"/>
  <c r="BD81" i="4"/>
  <c r="BC81" i="4"/>
  <c r="F68" i="23" s="1"/>
  <c r="AR93" i="4"/>
  <c r="AN76" i="4"/>
  <c r="W69" i="4"/>
  <c r="X66" i="4"/>
  <c r="D37" i="9"/>
  <c r="AG5" i="11"/>
  <c r="AF10" i="11"/>
  <c r="AF12" i="11" s="1"/>
  <c r="AF16" i="11" s="1"/>
  <c r="AF19" i="11" s="1"/>
  <c r="AG6" i="11"/>
  <c r="AG7" i="11" s="1"/>
  <c r="AG8" i="11" s="1"/>
  <c r="AW90" i="4" l="1"/>
  <c r="AX90" i="4" s="1"/>
  <c r="AY90" i="4" s="1"/>
  <c r="AZ90" i="4" s="1"/>
  <c r="BA90" i="4" s="1"/>
  <c r="BB90" i="4" s="1"/>
  <c r="AY57" i="4"/>
  <c r="AY60" i="4" s="1"/>
  <c r="AY61" i="4" s="1"/>
  <c r="D210" i="4"/>
  <c r="B50" i="9" s="1"/>
  <c r="BA21" i="4"/>
  <c r="BA56" i="4" s="1"/>
  <c r="BA19" i="4"/>
  <c r="BA54" i="4" s="1"/>
  <c r="AZ22" i="4"/>
  <c r="B49" i="9"/>
  <c r="BA80" i="4"/>
  <c r="AZ87" i="4"/>
  <c r="BE81" i="4"/>
  <c r="AS93" i="4"/>
  <c r="AO76" i="4"/>
  <c r="X69" i="4"/>
  <c r="Y66" i="4"/>
  <c r="AH5" i="11"/>
  <c r="AG10" i="11"/>
  <c r="AG12" i="11" s="1"/>
  <c r="AG16" i="11" s="1"/>
  <c r="AG19" i="11" s="1"/>
  <c r="AH6" i="11"/>
  <c r="AH7" i="11" s="1"/>
  <c r="AH8" i="11" s="1"/>
  <c r="D38" i="9"/>
  <c r="AZ57" i="4" l="1"/>
  <c r="AZ60" i="4" s="1"/>
  <c r="D211" i="4"/>
  <c r="B51" i="9" s="1"/>
  <c r="BB19" i="4"/>
  <c r="BB54" i="4" s="1"/>
  <c r="BA22" i="4"/>
  <c r="D212" i="4" s="1"/>
  <c r="B52" i="9" s="1"/>
  <c r="BB21" i="4"/>
  <c r="BB80" i="4"/>
  <c r="BA87" i="4"/>
  <c r="E63" i="23"/>
  <c r="BF81" i="4"/>
  <c r="AT93" i="4"/>
  <c r="AP76" i="4"/>
  <c r="AQ76" i="4"/>
  <c r="AA66" i="4"/>
  <c r="Y69" i="4"/>
  <c r="D39" i="9"/>
  <c r="AI5" i="11"/>
  <c r="AH10" i="11"/>
  <c r="AH12" i="11" s="1"/>
  <c r="AH16" i="11" s="1"/>
  <c r="AH19" i="11" s="1"/>
  <c r="AI6" i="11"/>
  <c r="AI7" i="11" s="1"/>
  <c r="AI8" i="11" s="1"/>
  <c r="BB56" i="4" l="1"/>
  <c r="BC56" i="4" s="1"/>
  <c r="F43" i="23" s="1"/>
  <c r="BD21" i="4"/>
  <c r="BD56" i="4" s="1"/>
  <c r="BC21" i="4"/>
  <c r="F17" i="23" s="1"/>
  <c r="F42" i="23"/>
  <c r="F16" i="23"/>
  <c r="BD19" i="4"/>
  <c r="BD54" i="4" s="1"/>
  <c r="BB22" i="4"/>
  <c r="D213" i="4" s="1"/>
  <c r="BC19" i="4"/>
  <c r="F15" i="23" s="1"/>
  <c r="BA57" i="4"/>
  <c r="BA60" i="4" s="1"/>
  <c r="BA61" i="4" s="1"/>
  <c r="AZ61" i="4"/>
  <c r="BC80" i="4"/>
  <c r="BB87" i="4"/>
  <c r="BG81" i="4"/>
  <c r="AU93" i="4"/>
  <c r="AR76" i="4"/>
  <c r="AA69" i="4"/>
  <c r="AB66" i="4"/>
  <c r="Z66" i="4"/>
  <c r="AC65" i="4"/>
  <c r="D52" i="23" s="1"/>
  <c r="AJ5" i="11"/>
  <c r="AI10" i="11"/>
  <c r="AI12" i="11" s="1"/>
  <c r="AI16" i="11" s="1"/>
  <c r="AI19" i="11" s="1"/>
  <c r="AJ6" i="11"/>
  <c r="AJ7" i="11" s="1"/>
  <c r="AJ8" i="11" s="1"/>
  <c r="D40" i="9"/>
  <c r="O10" i="23" l="1"/>
  <c r="O24" i="23"/>
  <c r="O11" i="23"/>
  <c r="O25" i="23"/>
  <c r="O9" i="23"/>
  <c r="F18" i="23"/>
  <c r="BC22" i="4"/>
  <c r="BB57" i="4"/>
  <c r="BB60" i="4" s="1"/>
  <c r="BC54" i="4"/>
  <c r="F41" i="23" s="1"/>
  <c r="B53" i="9"/>
  <c r="G213" i="4"/>
  <c r="BE19" i="4"/>
  <c r="BD22" i="4"/>
  <c r="D214" i="4" s="1"/>
  <c r="BE55" i="4"/>
  <c r="BE21" i="4"/>
  <c r="BE56" i="4" s="1"/>
  <c r="BE80" i="4"/>
  <c r="BD87" i="4"/>
  <c r="F67" i="23"/>
  <c r="BC87" i="4"/>
  <c r="BH81" i="4"/>
  <c r="AV93" i="4"/>
  <c r="AS76" i="4"/>
  <c r="AC66" i="4"/>
  <c r="D53" i="23" s="1"/>
  <c r="AD66" i="4"/>
  <c r="AE66" i="4"/>
  <c r="AB69" i="4"/>
  <c r="AC67" i="4"/>
  <c r="D54" i="23" s="1"/>
  <c r="Z69" i="4"/>
  <c r="D41" i="9"/>
  <c r="AK5" i="11"/>
  <c r="AJ10" i="11"/>
  <c r="AJ12" i="11" s="1"/>
  <c r="AJ16" i="11" s="1"/>
  <c r="AJ19" i="11" s="1"/>
  <c r="AK6" i="11"/>
  <c r="AK7" i="11" s="1"/>
  <c r="AK8" i="11" s="1"/>
  <c r="O12" i="23" l="1"/>
  <c r="O23" i="23"/>
  <c r="O26" i="23" s="1"/>
  <c r="O29" i="23" s="1"/>
  <c r="O30" i="23" s="1"/>
  <c r="F44" i="23"/>
  <c r="BE54" i="4"/>
  <c r="BC57" i="4"/>
  <c r="B54" i="9"/>
  <c r="BB61" i="4"/>
  <c r="BC60" i="4"/>
  <c r="BD57" i="4"/>
  <c r="BD60" i="4" s="1"/>
  <c r="BF21" i="4"/>
  <c r="BF56" i="4" s="1"/>
  <c r="BF19" i="4"/>
  <c r="BF54" i="4" s="1"/>
  <c r="BE22" i="4"/>
  <c r="BF55" i="4"/>
  <c r="F74" i="23"/>
  <c r="BF80" i="4"/>
  <c r="BE87" i="4"/>
  <c r="D56" i="23"/>
  <c r="BI81" i="4"/>
  <c r="AW93" i="4"/>
  <c r="AT76" i="4"/>
  <c r="AD69" i="4"/>
  <c r="AE69" i="4"/>
  <c r="AC69" i="4"/>
  <c r="AL5" i="11"/>
  <c r="AK10" i="11"/>
  <c r="AK12" i="11" s="1"/>
  <c r="AK16" i="11" s="1"/>
  <c r="AK19" i="11" s="1"/>
  <c r="AL6" i="11"/>
  <c r="AL7" i="11" s="1"/>
  <c r="AL8" i="11" s="1"/>
  <c r="D42" i="9"/>
  <c r="D66" i="9"/>
  <c r="BE57" i="4" l="1"/>
  <c r="BE60" i="4" s="1"/>
  <c r="BE61" i="4" s="1"/>
  <c r="BG55" i="4"/>
  <c r="BG21" i="4"/>
  <c r="F47" i="23"/>
  <c r="BC61" i="4"/>
  <c r="BG19" i="4"/>
  <c r="BF22" i="4"/>
  <c r="D215" i="4"/>
  <c r="BD61" i="4"/>
  <c r="BG80" i="4"/>
  <c r="BF87" i="4"/>
  <c r="BJ81" i="4"/>
  <c r="AX93" i="4"/>
  <c r="AU76" i="4"/>
  <c r="AF66" i="4"/>
  <c r="AG66" i="4"/>
  <c r="D43" i="9"/>
  <c r="AL10" i="11"/>
  <c r="AL12" i="11" s="1"/>
  <c r="AL16" i="11" s="1"/>
  <c r="AL19" i="11" s="1"/>
  <c r="AM6" i="11"/>
  <c r="AM7" i="11" s="1"/>
  <c r="AM8" i="11" s="1"/>
  <c r="AM5" i="11"/>
  <c r="BG56" i="4" l="1"/>
  <c r="BG54" i="4"/>
  <c r="F48" i="23"/>
  <c r="BH19" i="4"/>
  <c r="BH54" i="4" s="1"/>
  <c r="BG22" i="4"/>
  <c r="BH21" i="4"/>
  <c r="BH56" i="4" s="1"/>
  <c r="B55" i="9"/>
  <c r="BF57" i="4"/>
  <c r="BF60" i="4" s="1"/>
  <c r="D216" i="4"/>
  <c r="B56" i="9" s="1"/>
  <c r="BH80" i="4"/>
  <c r="BG87" i="4"/>
  <c r="BK81" i="4"/>
  <c r="AY93" i="4"/>
  <c r="AV76" i="4"/>
  <c r="AF69" i="4"/>
  <c r="AG69" i="4"/>
  <c r="AH66" i="4"/>
  <c r="AN5" i="11"/>
  <c r="AM10" i="11"/>
  <c r="AM12" i="11" s="1"/>
  <c r="AM16" i="11" s="1"/>
  <c r="AM19" i="11" s="1"/>
  <c r="AN6" i="11"/>
  <c r="AN7" i="11" s="1"/>
  <c r="AN8" i="11" s="1"/>
  <c r="D44" i="9"/>
  <c r="BH55" i="4" l="1"/>
  <c r="BF61" i="4"/>
  <c r="BI21" i="4"/>
  <c r="D217" i="4"/>
  <c r="BI19" i="4"/>
  <c r="BH22" i="4"/>
  <c r="BG57" i="4"/>
  <c r="BG60" i="4" s="1"/>
  <c r="BG61" i="4" s="1"/>
  <c r="BI80" i="4"/>
  <c r="BH87" i="4"/>
  <c r="BL81" i="4"/>
  <c r="AH69" i="4"/>
  <c r="AZ93" i="4"/>
  <c r="AW76" i="4"/>
  <c r="AI66" i="4"/>
  <c r="D45" i="9"/>
  <c r="AN10" i="11"/>
  <c r="AN12" i="11" s="1"/>
  <c r="AN16" i="11" s="1"/>
  <c r="AN19" i="11" s="1"/>
  <c r="AO6" i="11"/>
  <c r="AO7" i="11" s="1"/>
  <c r="AO5" i="11"/>
  <c r="BI55" i="4" l="1"/>
  <c r="BI54" i="4"/>
  <c r="BI56" i="4"/>
  <c r="B57" i="9"/>
  <c r="BJ21" i="4"/>
  <c r="BJ56" i="4" s="1"/>
  <c r="D218" i="4"/>
  <c r="B58" i="9" s="1"/>
  <c r="BJ55" i="4"/>
  <c r="BH57" i="4"/>
  <c r="BH60" i="4" s="1"/>
  <c r="BJ19" i="4"/>
  <c r="BJ54" i="4" s="1"/>
  <c r="BI22" i="4"/>
  <c r="BJ80" i="4"/>
  <c r="BI87" i="4"/>
  <c r="BM81" i="4"/>
  <c r="AI69" i="4"/>
  <c r="BA93" i="4"/>
  <c r="AX76" i="4"/>
  <c r="AO8" i="11"/>
  <c r="D46" i="9"/>
  <c r="BH61" i="4" l="1"/>
  <c r="BK19" i="4"/>
  <c r="BK54" i="4" s="1"/>
  <c r="BJ22" i="4"/>
  <c r="BI57" i="4"/>
  <c r="BI60" i="4" s="1"/>
  <c r="BK55" i="4"/>
  <c r="D219" i="4"/>
  <c r="BK21" i="4"/>
  <c r="BK80" i="4"/>
  <c r="BJ87" i="4"/>
  <c r="BN81" i="4"/>
  <c r="BD90" i="4"/>
  <c r="BB93" i="4"/>
  <c r="BC90" i="4"/>
  <c r="F77" i="23" s="1"/>
  <c r="AY76" i="4"/>
  <c r="AK66" i="4"/>
  <c r="AJ66" i="4"/>
  <c r="D47" i="9"/>
  <c r="AP5" i="11"/>
  <c r="AP6" i="11"/>
  <c r="AP7" i="11" s="1"/>
  <c r="AP8" i="11" s="1"/>
  <c r="AO10" i="11"/>
  <c r="AO12" i="11" s="1"/>
  <c r="AO16" i="11" s="1"/>
  <c r="AO19" i="11" s="1"/>
  <c r="BK56" i="4" l="1"/>
  <c r="BI61" i="4"/>
  <c r="B59" i="9"/>
  <c r="BL19" i="4"/>
  <c r="BL54" i="4" s="1"/>
  <c r="BK22" i="4"/>
  <c r="D220" i="4"/>
  <c r="B60" i="9" s="1"/>
  <c r="BJ57" i="4"/>
  <c r="BJ60" i="4" s="1"/>
  <c r="BL55" i="4"/>
  <c r="BL21" i="4"/>
  <c r="BL56" i="4" s="1"/>
  <c r="F80" i="23"/>
  <c r="BL80" i="4"/>
  <c r="BK87" i="4"/>
  <c r="BO81" i="4"/>
  <c r="BC93" i="4"/>
  <c r="BE90" i="4"/>
  <c r="BD93" i="4"/>
  <c r="AZ76" i="4"/>
  <c r="AK69" i="4"/>
  <c r="AJ69" i="4"/>
  <c r="AL66" i="4"/>
  <c r="AR5" i="11"/>
  <c r="AP10" i="11"/>
  <c r="AP12" i="11" s="1"/>
  <c r="AP16" i="11" s="1"/>
  <c r="AP19" i="11" s="1"/>
  <c r="AR6" i="11"/>
  <c r="AR7" i="11" s="1"/>
  <c r="AR8" i="11" s="1"/>
  <c r="D48" i="9"/>
  <c r="BJ61" i="4" l="1"/>
  <c r="BM19" i="4"/>
  <c r="BM54" i="4" s="1"/>
  <c r="BL22" i="4"/>
  <c r="D221" i="4"/>
  <c r="B61" i="9" s="1"/>
  <c r="BK57" i="4"/>
  <c r="BK60" i="4" s="1"/>
  <c r="BM21" i="4"/>
  <c r="BM56" i="4" s="1"/>
  <c r="BM80" i="4"/>
  <c r="BL87" i="4"/>
  <c r="BP81" i="4"/>
  <c r="G68" i="23" s="1"/>
  <c r="H68" i="23" s="1"/>
  <c r="BF90" i="4"/>
  <c r="BE93" i="4"/>
  <c r="BA76" i="4"/>
  <c r="AL69" i="4"/>
  <c r="AM66" i="4"/>
  <c r="D49" i="9"/>
  <c r="AS5" i="11"/>
  <c r="AR10" i="11"/>
  <c r="AR12" i="11" s="1"/>
  <c r="AR16" i="11" s="1"/>
  <c r="AR19" i="11" s="1"/>
  <c r="AS6" i="11"/>
  <c r="AS7" i="11" s="1"/>
  <c r="AS8" i="11" s="1"/>
  <c r="BM55" i="4" l="1"/>
  <c r="BK61" i="4"/>
  <c r="BN21" i="4"/>
  <c r="BN56" i="4" s="1"/>
  <c r="BN19" i="4"/>
  <c r="BN54" i="4" s="1"/>
  <c r="BM22" i="4"/>
  <c r="D222" i="4"/>
  <c r="B62" i="9" s="1"/>
  <c r="BL57" i="4"/>
  <c r="BL60" i="4" s="1"/>
  <c r="BN55" i="4"/>
  <c r="BN80" i="4"/>
  <c r="BM87" i="4"/>
  <c r="BQ81" i="4"/>
  <c r="AM69" i="4"/>
  <c r="BG90" i="4"/>
  <c r="BF93" i="4"/>
  <c r="BB76" i="4"/>
  <c r="AN66" i="4"/>
  <c r="AT5" i="11"/>
  <c r="AS10" i="11"/>
  <c r="AS12" i="11" s="1"/>
  <c r="AS16" i="11" s="1"/>
  <c r="AS19" i="11" s="1"/>
  <c r="AT6" i="11"/>
  <c r="AT7" i="11" s="1"/>
  <c r="AT8" i="11" s="1"/>
  <c r="D50" i="9"/>
  <c r="BM57" i="4" l="1"/>
  <c r="BM60" i="4" s="1"/>
  <c r="BM61" i="4" s="1"/>
  <c r="BL61" i="4"/>
  <c r="D223" i="4"/>
  <c r="B63" i="9" s="1"/>
  <c r="BO19" i="4"/>
  <c r="BN22" i="4"/>
  <c r="D224" i="4" s="1"/>
  <c r="B64" i="9" s="1"/>
  <c r="BO21" i="4"/>
  <c r="BO56" i="4" s="1"/>
  <c r="F63" i="23"/>
  <c r="BO80" i="4"/>
  <c r="BN87" i="4"/>
  <c r="AN69" i="4"/>
  <c r="BH90" i="4"/>
  <c r="BG93" i="4"/>
  <c r="BC76" i="4"/>
  <c r="BD76" i="4"/>
  <c r="D51" i="9"/>
  <c r="AU5" i="11"/>
  <c r="AT10" i="11"/>
  <c r="AT12" i="11" s="1"/>
  <c r="AT16" i="11" s="1"/>
  <c r="AT19" i="11" s="1"/>
  <c r="AU6" i="11"/>
  <c r="AU7" i="11" s="1"/>
  <c r="AU8" i="11" s="1"/>
  <c r="BO54" i="4" l="1"/>
  <c r="BO55" i="4"/>
  <c r="BP55" i="4" s="1"/>
  <c r="G42" i="23" s="1"/>
  <c r="BP56" i="4"/>
  <c r="G43" i="23" s="1"/>
  <c r="BP21" i="4"/>
  <c r="G17" i="23" s="1"/>
  <c r="G16" i="23"/>
  <c r="BN57" i="4"/>
  <c r="BN60" i="4" s="1"/>
  <c r="BN61" i="4" s="1"/>
  <c r="BO22" i="4"/>
  <c r="BP19" i="4"/>
  <c r="G15" i="23" s="1"/>
  <c r="BO87" i="4"/>
  <c r="BP80" i="4"/>
  <c r="BI90" i="4"/>
  <c r="BH93" i="4"/>
  <c r="BE76" i="4"/>
  <c r="AO66" i="4"/>
  <c r="AP65" i="4"/>
  <c r="E52" i="23" s="1"/>
  <c r="AV5" i="11"/>
  <c r="AU10" i="11"/>
  <c r="AU12" i="11" s="1"/>
  <c r="AU16" i="11" s="1"/>
  <c r="AU19" i="11" s="1"/>
  <c r="AV6" i="11"/>
  <c r="AV7" i="11" s="1"/>
  <c r="AV8" i="11" s="1"/>
  <c r="D52" i="9"/>
  <c r="P9" i="23" l="1"/>
  <c r="G18" i="23"/>
  <c r="H15" i="23"/>
  <c r="Q9" i="23" s="1"/>
  <c r="P10" i="23"/>
  <c r="H16" i="23"/>
  <c r="Q10" i="23" s="1"/>
  <c r="P25" i="23"/>
  <c r="H43" i="23"/>
  <c r="Q25" i="23" s="1"/>
  <c r="P11" i="23"/>
  <c r="H17" i="23"/>
  <c r="Q11" i="23" s="1"/>
  <c r="P24" i="23"/>
  <c r="H42" i="23"/>
  <c r="Q24" i="23" s="1"/>
  <c r="D225" i="4"/>
  <c r="BQ55" i="4"/>
  <c r="BQ19" i="4"/>
  <c r="BP22" i="4"/>
  <c r="BQ21" i="4"/>
  <c r="BO57" i="4"/>
  <c r="BO60" i="4" s="1"/>
  <c r="BP54" i="4"/>
  <c r="G41" i="23" s="1"/>
  <c r="BQ56" i="4"/>
  <c r="G67" i="23"/>
  <c r="BQ80" i="4"/>
  <c r="BQ87" i="4" s="1"/>
  <c r="BP87" i="4"/>
  <c r="AP66" i="4"/>
  <c r="E53" i="23" s="1"/>
  <c r="AP67" i="4"/>
  <c r="E54" i="23" s="1"/>
  <c r="BJ90" i="4"/>
  <c r="BI93" i="4"/>
  <c r="BF76" i="4"/>
  <c r="AO69" i="4"/>
  <c r="AQ66" i="4"/>
  <c r="AR66" i="4"/>
  <c r="D53" i="9"/>
  <c r="AW5" i="11"/>
  <c r="AV10" i="11"/>
  <c r="AV12" i="11" s="1"/>
  <c r="AV16" i="11" s="1"/>
  <c r="AV19" i="11" s="1"/>
  <c r="AW6" i="11"/>
  <c r="AW7" i="11" s="1"/>
  <c r="AW8" i="11" s="1"/>
  <c r="P23" i="23" l="1"/>
  <c r="P26" i="23" s="1"/>
  <c r="G44" i="23"/>
  <c r="H41" i="23"/>
  <c r="Q12" i="23"/>
  <c r="P12" i="23"/>
  <c r="BO61" i="4"/>
  <c r="BP60" i="4"/>
  <c r="BP57" i="4"/>
  <c r="BQ54" i="4"/>
  <c r="BQ57" i="4" s="1"/>
  <c r="B65" i="9"/>
  <c r="B66" i="9" s="1"/>
  <c r="D226" i="4"/>
  <c r="G225" i="4"/>
  <c r="H18" i="23"/>
  <c r="BQ22" i="4"/>
  <c r="G74" i="23"/>
  <c r="H67" i="23"/>
  <c r="H74" i="23" s="1"/>
  <c r="AP69" i="4"/>
  <c r="E56" i="23"/>
  <c r="BK90" i="4"/>
  <c r="BJ93" i="4"/>
  <c r="BG76" i="4"/>
  <c r="AQ69" i="4"/>
  <c r="AR69" i="4"/>
  <c r="AX5" i="11"/>
  <c r="AW10" i="11"/>
  <c r="AW12" i="11" s="1"/>
  <c r="AW16" i="11" s="1"/>
  <c r="AW19" i="11" s="1"/>
  <c r="AX6" i="11"/>
  <c r="AX7" i="11" s="1"/>
  <c r="AX8" i="11" s="1"/>
  <c r="D54" i="9"/>
  <c r="Q23" i="23" l="1"/>
  <c r="Q26" i="23" s="1"/>
  <c r="Q29" i="23" s="1"/>
  <c r="Q30" i="23" s="1"/>
  <c r="H44" i="23"/>
  <c r="P29" i="23"/>
  <c r="P30" i="23" s="1"/>
  <c r="BP61" i="4"/>
  <c r="G47" i="23"/>
  <c r="BQ60" i="4"/>
  <c r="BQ61" i="4" s="1"/>
  <c r="BL90" i="4"/>
  <c r="BK93" i="4"/>
  <c r="BH76" i="4"/>
  <c r="AS66" i="4"/>
  <c r="AT66" i="4"/>
  <c r="D55" i="9"/>
  <c r="AY5" i="11"/>
  <c r="AX10" i="11"/>
  <c r="AX12" i="11" s="1"/>
  <c r="AX16" i="11" s="1"/>
  <c r="AX19" i="11" s="1"/>
  <c r="AY6" i="11"/>
  <c r="AY7" i="11" s="1"/>
  <c r="AY8" i="11" s="1"/>
  <c r="G48" i="23" l="1"/>
  <c r="H47" i="23"/>
  <c r="H48" i="23" s="1"/>
  <c r="AT69" i="4"/>
  <c r="BM90" i="4"/>
  <c r="BL93" i="4"/>
  <c r="BI76" i="4"/>
  <c r="AU66" i="4"/>
  <c r="AS69" i="4"/>
  <c r="AY10" i="11"/>
  <c r="AY12" i="11" s="1"/>
  <c r="AY16" i="11" s="1"/>
  <c r="AY19" i="11" s="1"/>
  <c r="AZ6" i="11"/>
  <c r="AZ7" i="11" s="1"/>
  <c r="AZ5" i="11"/>
  <c r="D56" i="9"/>
  <c r="BN90" i="4" l="1"/>
  <c r="BM93" i="4"/>
  <c r="BJ76" i="4"/>
  <c r="AU69" i="4"/>
  <c r="D57" i="9"/>
  <c r="AZ8" i="11"/>
  <c r="BO90" i="4" l="1"/>
  <c r="BN93" i="4"/>
  <c r="BK76" i="4"/>
  <c r="AV66" i="4"/>
  <c r="AW66" i="4"/>
  <c r="BA5" i="11"/>
  <c r="AZ10" i="11"/>
  <c r="AZ12" i="11" s="1"/>
  <c r="AZ16" i="11" s="1"/>
  <c r="AZ19" i="11" s="1"/>
  <c r="BA6" i="11"/>
  <c r="BA7" i="11" s="1"/>
  <c r="BA8" i="11" s="1"/>
  <c r="D58" i="9"/>
  <c r="BO93" i="4" l="1"/>
  <c r="BP90" i="4"/>
  <c r="G77" i="23" s="1"/>
  <c r="BL76" i="4"/>
  <c r="AW69" i="4"/>
  <c r="AV69" i="4"/>
  <c r="AX66" i="4"/>
  <c r="D59" i="9"/>
  <c r="BA10" i="11"/>
  <c r="BA12" i="11" s="1"/>
  <c r="BA16" i="11" s="1"/>
  <c r="BA19" i="11" s="1"/>
  <c r="BB6" i="11"/>
  <c r="BB7" i="11" s="1"/>
  <c r="BB5" i="11"/>
  <c r="G80" i="23" l="1"/>
  <c r="H77" i="23"/>
  <c r="H80" i="23" s="1"/>
  <c r="BP93" i="4"/>
  <c r="BQ90" i="4"/>
  <c r="BQ93" i="4" s="1"/>
  <c r="BM76" i="4"/>
  <c r="AX69" i="4"/>
  <c r="AY66" i="4"/>
  <c r="BB8" i="11"/>
  <c r="D60" i="9"/>
  <c r="BN76" i="4" l="1"/>
  <c r="AY69" i="4"/>
  <c r="AZ66" i="4"/>
  <c r="D61" i="9"/>
  <c r="BC5" i="11"/>
  <c r="BC6" i="11"/>
  <c r="BC7" i="11" s="1"/>
  <c r="BC8" i="11" s="1"/>
  <c r="BB10" i="11"/>
  <c r="BB12" i="11" s="1"/>
  <c r="BB16" i="11" s="1"/>
  <c r="BB19" i="11" s="1"/>
  <c r="BO76" i="4" l="1"/>
  <c r="AZ69" i="4"/>
  <c r="BA66" i="4"/>
  <c r="BE5" i="11"/>
  <c r="BC10" i="11"/>
  <c r="BC12" i="11" s="1"/>
  <c r="BC16" i="11" s="1"/>
  <c r="BC19" i="11" s="1"/>
  <c r="BE6" i="11"/>
  <c r="BE7" i="11" s="1"/>
  <c r="BE8" i="11" s="1"/>
  <c r="D62" i="9"/>
  <c r="G63" i="23" l="1"/>
  <c r="H63" i="23"/>
  <c r="BP76" i="4"/>
  <c r="BQ76" i="4"/>
  <c r="BA69" i="4"/>
  <c r="D63" i="9"/>
  <c r="BF5" i="11"/>
  <c r="BE10" i="11"/>
  <c r="BE12" i="11" s="1"/>
  <c r="BE16" i="11" s="1"/>
  <c r="BE19" i="11" s="1"/>
  <c r="BF6" i="11"/>
  <c r="BF7" i="11" s="1"/>
  <c r="BF8" i="11" s="1"/>
  <c r="BB66" i="4" l="1"/>
  <c r="BC65" i="4"/>
  <c r="BG5" i="11"/>
  <c r="BF10" i="11"/>
  <c r="BF12" i="11" s="1"/>
  <c r="BF16" i="11" s="1"/>
  <c r="BF19" i="11" s="1"/>
  <c r="BG6" i="11"/>
  <c r="BG7" i="11" s="1"/>
  <c r="BG8" i="11" s="1"/>
  <c r="D64" i="9"/>
  <c r="BQ65" i="4" l="1"/>
  <c r="F52" i="23"/>
  <c r="BC67" i="4"/>
  <c r="F54" i="23" s="1"/>
  <c r="H54" i="23" s="1"/>
  <c r="BC66" i="4"/>
  <c r="BB69" i="4"/>
  <c r="D65" i="9"/>
  <c r="BH5" i="11"/>
  <c r="BG10" i="11"/>
  <c r="BG12" i="11" s="1"/>
  <c r="BG16" i="11" s="1"/>
  <c r="BG19" i="11" s="1"/>
  <c r="BH6" i="11"/>
  <c r="BH7" i="11" s="1"/>
  <c r="BH8" i="11" s="1"/>
  <c r="BQ67" i="4" l="1"/>
  <c r="BC69" i="4"/>
  <c r="BQ66" i="4"/>
  <c r="F53" i="23"/>
  <c r="H53" i="23" s="1"/>
  <c r="H52" i="23"/>
  <c r="BI5" i="11"/>
  <c r="BH10" i="11"/>
  <c r="BH12" i="11" s="1"/>
  <c r="BH16" i="11" s="1"/>
  <c r="BH19" i="11" s="1"/>
  <c r="BI6" i="11"/>
  <c r="BI7" i="11" s="1"/>
  <c r="BI8" i="11" s="1"/>
  <c r="BQ69" i="4" l="1"/>
  <c r="H56" i="23"/>
  <c r="F56" i="23"/>
  <c r="BJ5" i="11"/>
  <c r="BI10" i="11"/>
  <c r="BI12" i="11" s="1"/>
  <c r="BI16" i="11" s="1"/>
  <c r="BI19" i="11" s="1"/>
  <c r="BJ6" i="11"/>
  <c r="BJ7" i="11" s="1"/>
  <c r="BJ8" i="11" s="1"/>
  <c r="BK5" i="11" l="1"/>
  <c r="BJ10" i="11"/>
  <c r="BJ12" i="11" s="1"/>
  <c r="BJ16" i="11" s="1"/>
  <c r="BJ19" i="11" s="1"/>
  <c r="BK6" i="11"/>
  <c r="BK7" i="11" s="1"/>
  <c r="BK8" i="11" s="1"/>
  <c r="BL5" i="11" l="1"/>
  <c r="BK10" i="11"/>
  <c r="BK12" i="11" s="1"/>
  <c r="BK16" i="11" s="1"/>
  <c r="BK19" i="11" s="1"/>
  <c r="BL6" i="11"/>
  <c r="BL7" i="11" s="1"/>
  <c r="BL8" i="11" s="1"/>
  <c r="BL10" i="11" l="1"/>
  <c r="BL12" i="11" s="1"/>
  <c r="BL16" i="11" s="1"/>
  <c r="BL19" i="11" s="1"/>
  <c r="BM6" i="11"/>
  <c r="BM7" i="11" s="1"/>
  <c r="BM5" i="11"/>
  <c r="BM8" i="11" l="1"/>
  <c r="BN5" i="11" l="1"/>
  <c r="BM10" i="11"/>
  <c r="BM12" i="11" s="1"/>
  <c r="BM16" i="11" s="1"/>
  <c r="BM19" i="11" s="1"/>
  <c r="BN6" i="11"/>
  <c r="BN7" i="11" s="1"/>
  <c r="BN8" i="11" s="1"/>
  <c r="BN10" i="11" l="1"/>
  <c r="BN12" i="11" s="1"/>
  <c r="BN16" i="11" s="1"/>
  <c r="BN19" i="11" s="1"/>
  <c r="BO6" i="11"/>
  <c r="BO7" i="11" s="1"/>
  <c r="BO8" i="11" s="1"/>
  <c r="BO5" i="11"/>
  <c r="BP5" i="11" l="1"/>
  <c r="BP6" i="11"/>
  <c r="BP7" i="11" s="1"/>
  <c r="BP8" i="11" s="1"/>
  <c r="BP10" i="11" s="1"/>
  <c r="BP12" i="11" s="1"/>
  <c r="BP16" i="11" s="1"/>
  <c r="BP19" i="11" s="1"/>
  <c r="BO10" i="11"/>
  <c r="BO12" i="11" s="1"/>
  <c r="BO16" i="11" s="1"/>
  <c r="BO19" i="11" s="1"/>
  <c r="I99" i="4" l="1"/>
  <c r="I101" i="4" s="1"/>
  <c r="I103" i="4" s="1"/>
  <c r="I96" i="4"/>
  <c r="E171" i="4" l="1"/>
  <c r="J99" i="4"/>
  <c r="J101" i="4" s="1"/>
  <c r="J103" i="4" s="1"/>
  <c r="E172" i="4" s="1"/>
  <c r="C12" i="9" l="1"/>
  <c r="F172" i="4"/>
  <c r="C11" i="9"/>
  <c r="H11" i="9" s="1"/>
  <c r="F171" i="4"/>
  <c r="J96" i="4"/>
  <c r="H12" i="9" l="1"/>
  <c r="E11" i="9"/>
  <c r="K99" i="4" l="1"/>
  <c r="K101" i="4" s="1"/>
  <c r="K103" i="4" s="1"/>
  <c r="E173" i="4" s="1"/>
  <c r="F173" i="4" s="1"/>
  <c r="K96" i="4"/>
  <c r="L97" i="4" s="1"/>
  <c r="F11" i="9"/>
  <c r="E12" i="9"/>
  <c r="L99" i="4" l="1"/>
  <c r="L101" i="4" s="1"/>
  <c r="L103" i="4" s="1"/>
  <c r="E174" i="4" s="1"/>
  <c r="C13" i="9"/>
  <c r="H13" i="9" s="1"/>
  <c r="L96" i="4"/>
  <c r="M97" i="4" s="1"/>
  <c r="F12" i="9"/>
  <c r="E13" i="9" l="1"/>
  <c r="F13" i="9" s="1"/>
  <c r="F174" i="4"/>
  <c r="C14" i="9"/>
  <c r="M99" i="4"/>
  <c r="M101" i="4" s="1"/>
  <c r="M103" i="4" s="1"/>
  <c r="M96" i="4"/>
  <c r="N97" i="4" s="1"/>
  <c r="E14" i="9" l="1"/>
  <c r="H14" i="9"/>
  <c r="E175" i="4"/>
  <c r="F14" i="9"/>
  <c r="F175" i="4" l="1"/>
  <c r="C15" i="9"/>
  <c r="H15" i="9" s="1"/>
  <c r="N99" i="4"/>
  <c r="N101" i="4" s="1"/>
  <c r="N103" i="4" s="1"/>
  <c r="N96" i="4"/>
  <c r="O97" i="4" s="1"/>
  <c r="E15" i="9" l="1"/>
  <c r="E176" i="4"/>
  <c r="F176" i="4" l="1"/>
  <c r="C16" i="9"/>
  <c r="F15" i="9"/>
  <c r="O99" i="4"/>
  <c r="O101" i="4" s="1"/>
  <c r="O103" i="4" s="1"/>
  <c r="P97" i="4"/>
  <c r="C83" i="23" s="1"/>
  <c r="O96" i="4"/>
  <c r="E16" i="9" l="1"/>
  <c r="F16" i="9" s="1"/>
  <c r="H16" i="9"/>
  <c r="C85" i="23"/>
  <c r="C87" i="23" s="1"/>
  <c r="C89" i="23" s="1"/>
  <c r="E177" i="4"/>
  <c r="P96" i="4"/>
  <c r="Q97" i="4" s="1"/>
  <c r="P99" i="4"/>
  <c r="P101" i="4" s="1"/>
  <c r="P103" i="4" s="1"/>
  <c r="C17" i="9" l="1"/>
  <c r="E17" i="9" s="1"/>
  <c r="F177" i="4"/>
  <c r="H177" i="4"/>
  <c r="H17" i="9" l="1"/>
  <c r="Q99" i="4"/>
  <c r="Q101" i="4" s="1"/>
  <c r="Q103" i="4" s="1"/>
  <c r="E178" i="4" s="1"/>
  <c r="C18" i="9" s="1"/>
  <c r="E18" i="9" s="1"/>
  <c r="Q96" i="4"/>
  <c r="F17" i="9"/>
  <c r="H18" i="9" l="1"/>
  <c r="R97" i="4"/>
  <c r="R99" i="4" s="1"/>
  <c r="R101" i="4" s="1"/>
  <c r="R103" i="4" s="1"/>
  <c r="E179" i="4" s="1"/>
  <c r="F178" i="4"/>
  <c r="F18" i="9"/>
  <c r="R96" i="4" l="1"/>
  <c r="S97" i="4" s="1"/>
  <c r="S99" i="4" s="1"/>
  <c r="S101" i="4" s="1"/>
  <c r="S103" i="4" s="1"/>
  <c r="E180" i="4" s="1"/>
  <c r="C19" i="9"/>
  <c r="E19" i="9" s="1"/>
  <c r="F19" i="9" s="1"/>
  <c r="F179" i="4"/>
  <c r="H19" i="9" l="1"/>
  <c r="S96" i="4"/>
  <c r="T97" i="4" s="1"/>
  <c r="T99" i="4" s="1"/>
  <c r="T101" i="4" s="1"/>
  <c r="T103" i="4" s="1"/>
  <c r="F180" i="4"/>
  <c r="C20" i="9"/>
  <c r="H20" i="9" l="1"/>
  <c r="T96" i="4"/>
  <c r="U97" i="4" s="1"/>
  <c r="E181" i="4"/>
  <c r="E20" i="9"/>
  <c r="F20" i="9" l="1"/>
  <c r="F181" i="4"/>
  <c r="C21" i="9"/>
  <c r="H21" i="9" s="1"/>
  <c r="U99" i="4"/>
  <c r="U101" i="4" s="1"/>
  <c r="U103" i="4" s="1"/>
  <c r="U96" i="4"/>
  <c r="V97" i="4" s="1"/>
  <c r="E182" i="4" l="1"/>
  <c r="E21" i="9"/>
  <c r="F21" i="9" l="1"/>
  <c r="F182" i="4"/>
  <c r="C22" i="9"/>
  <c r="H22" i="9" s="1"/>
  <c r="V99" i="4"/>
  <c r="V101" i="4" s="1"/>
  <c r="V103" i="4" s="1"/>
  <c r="E183" i="4" s="1"/>
  <c r="V96" i="4"/>
  <c r="W97" i="4" s="1"/>
  <c r="F183" i="4" l="1"/>
  <c r="C23" i="9"/>
  <c r="H23" i="9" s="1"/>
  <c r="E22" i="9"/>
  <c r="W99" i="4" l="1"/>
  <c r="W101" i="4" s="1"/>
  <c r="W103" i="4" s="1"/>
  <c r="E184" i="4" s="1"/>
  <c r="F184" i="4" s="1"/>
  <c r="F22" i="9"/>
  <c r="E23" i="9"/>
  <c r="W96" i="4"/>
  <c r="X97" i="4" s="1"/>
  <c r="C24" i="9" l="1"/>
  <c r="H24" i="9" s="1"/>
  <c r="F23" i="9"/>
  <c r="X99" i="4"/>
  <c r="X101" i="4" s="1"/>
  <c r="X103" i="4" s="1"/>
  <c r="E185" i="4" s="1"/>
  <c r="E24" i="9" l="1"/>
  <c r="F24" i="9" s="1"/>
  <c r="F185" i="4"/>
  <c r="C25" i="9"/>
  <c r="H25" i="9" s="1"/>
  <c r="X96" i="4"/>
  <c r="Y97" i="4" s="1"/>
  <c r="E25" i="9" l="1"/>
  <c r="F25" i="9" s="1"/>
  <c r="Y99" i="4"/>
  <c r="Y101" i="4" s="1"/>
  <c r="Y103" i="4" s="1"/>
  <c r="E186" i="4" s="1"/>
  <c r="C26" i="9" l="1"/>
  <c r="H26" i="9" s="1"/>
  <c r="F186" i="4"/>
  <c r="Y96" i="4"/>
  <c r="Z97" i="4" s="1"/>
  <c r="E26" i="9" l="1"/>
  <c r="Z99" i="4"/>
  <c r="Z101" i="4" s="1"/>
  <c r="Z103" i="4" s="1"/>
  <c r="E187" i="4" s="1"/>
  <c r="C27" i="9" l="1"/>
  <c r="H27" i="9" s="1"/>
  <c r="F187" i="4"/>
  <c r="F26" i="9"/>
  <c r="Z96" i="4"/>
  <c r="AA97" i="4" s="1"/>
  <c r="E27" i="9" l="1"/>
  <c r="F27" i="9" s="1"/>
  <c r="AA99" i="4"/>
  <c r="AA101" i="4" s="1"/>
  <c r="AA103" i="4" s="1"/>
  <c r="E188" i="4" s="1"/>
  <c r="F188" i="4" l="1"/>
  <c r="C28" i="9"/>
  <c r="H28" i="9" s="1"/>
  <c r="AA96" i="4"/>
  <c r="AB97" i="4" s="1"/>
  <c r="E28" i="9" l="1"/>
  <c r="F28" i="9" l="1"/>
  <c r="AB99" i="4"/>
  <c r="AB101" i="4" s="1"/>
  <c r="AB103" i="4" s="1"/>
  <c r="AC97" i="4"/>
  <c r="D83" i="23" s="1"/>
  <c r="AB96" i="4"/>
  <c r="D85" i="23" l="1"/>
  <c r="D87" i="23" s="1"/>
  <c r="D89" i="23" s="1"/>
  <c r="E189" i="4"/>
  <c r="AC96" i="4"/>
  <c r="AD97" i="4" s="1"/>
  <c r="AC99" i="4"/>
  <c r="AC101" i="4" s="1"/>
  <c r="AC103" i="4" s="1"/>
  <c r="AD99" i="4" l="1"/>
  <c r="AD101" i="4" s="1"/>
  <c r="AD103" i="4" s="1"/>
  <c r="E190" i="4" s="1"/>
  <c r="C29" i="9"/>
  <c r="H29" i="9" s="1"/>
  <c r="F189" i="4"/>
  <c r="H189" i="4"/>
  <c r="AD96" i="4"/>
  <c r="AE97" i="4" s="1"/>
  <c r="E29" i="9" l="1"/>
  <c r="F190" i="4"/>
  <c r="C30" i="9"/>
  <c r="H30" i="9" s="1"/>
  <c r="AE99" i="4" l="1"/>
  <c r="AE101" i="4" s="1"/>
  <c r="AE103" i="4" s="1"/>
  <c r="E191" i="4" s="1"/>
  <c r="F191" i="4" s="1"/>
  <c r="AE96" i="4"/>
  <c r="E30" i="9"/>
  <c r="F29" i="9"/>
  <c r="AF97" i="4" l="1"/>
  <c r="AF99" i="4" s="1"/>
  <c r="AF101" i="4" s="1"/>
  <c r="AF103" i="4" s="1"/>
  <c r="E192" i="4" s="1"/>
  <c r="C31" i="9"/>
  <c r="H31" i="9" s="1"/>
  <c r="F30" i="9"/>
  <c r="AF96" i="4" l="1"/>
  <c r="AG97" i="4" s="1"/>
  <c r="AG99" i="4" s="1"/>
  <c r="AG101" i="4" s="1"/>
  <c r="AG103" i="4" s="1"/>
  <c r="E31" i="9"/>
  <c r="F31" i="9" s="1"/>
  <c r="F192" i="4"/>
  <c r="C32" i="9"/>
  <c r="H32" i="9" s="1"/>
  <c r="AG96" i="4" l="1"/>
  <c r="AH97" i="4" s="1"/>
  <c r="E193" i="4"/>
  <c r="E32" i="9"/>
  <c r="F193" i="4" l="1"/>
  <c r="C33" i="9"/>
  <c r="H33" i="9" s="1"/>
  <c r="F32" i="9"/>
  <c r="AH99" i="4"/>
  <c r="AH101" i="4" s="1"/>
  <c r="AH103" i="4" s="1"/>
  <c r="AH96" i="4"/>
  <c r="AI97" i="4" s="1"/>
  <c r="E33" i="9" l="1"/>
  <c r="F33" i="9" s="1"/>
  <c r="E194" i="4"/>
  <c r="C34" i="9" l="1"/>
  <c r="H34" i="9" s="1"/>
  <c r="F194" i="4"/>
  <c r="AI99" i="4"/>
  <c r="AI101" i="4" s="1"/>
  <c r="AI103" i="4" s="1"/>
  <c r="E195" i="4" s="1"/>
  <c r="AI96" i="4"/>
  <c r="AJ97" i="4" s="1"/>
  <c r="C35" i="9" l="1"/>
  <c r="H35" i="9" s="1"/>
  <c r="F195" i="4"/>
  <c r="E34" i="9"/>
  <c r="AJ99" i="4" l="1"/>
  <c r="AJ101" i="4" s="1"/>
  <c r="AJ103" i="4" s="1"/>
  <c r="E196" i="4" s="1"/>
  <c r="C36" i="9" s="1"/>
  <c r="H36" i="9" s="1"/>
  <c r="E35" i="9"/>
  <c r="F34" i="9"/>
  <c r="AJ96" i="4"/>
  <c r="AK97" i="4" s="1"/>
  <c r="F196" i="4" l="1"/>
  <c r="E36" i="9"/>
  <c r="F35" i="9"/>
  <c r="AK99" i="4"/>
  <c r="AK101" i="4" s="1"/>
  <c r="AK103" i="4" s="1"/>
  <c r="E197" i="4" s="1"/>
  <c r="F197" i="4" l="1"/>
  <c r="C37" i="9"/>
  <c r="H37" i="9" s="1"/>
  <c r="F36" i="9"/>
  <c r="AK96" i="4"/>
  <c r="AL97" i="4" s="1"/>
  <c r="E37" i="9" l="1"/>
  <c r="F37" i="9" s="1"/>
  <c r="AL99" i="4"/>
  <c r="AL101" i="4" s="1"/>
  <c r="AL103" i="4" s="1"/>
  <c r="E198" i="4" s="1"/>
  <c r="F198" i="4" l="1"/>
  <c r="C38" i="9"/>
  <c r="H38" i="9" s="1"/>
  <c r="AL96" i="4"/>
  <c r="AM97" i="4" s="1"/>
  <c r="E38" i="9" l="1"/>
  <c r="AM99" i="4"/>
  <c r="AM101" i="4" s="1"/>
  <c r="AM103" i="4" s="1"/>
  <c r="E199" i="4" s="1"/>
  <c r="F38" i="9" l="1"/>
  <c r="C39" i="9"/>
  <c r="H39" i="9" s="1"/>
  <c r="F199" i="4"/>
  <c r="AM96" i="4"/>
  <c r="AN97" i="4" s="1"/>
  <c r="E39" i="9" l="1"/>
  <c r="AN99" i="4"/>
  <c r="AN101" i="4" s="1"/>
  <c r="AN103" i="4" s="1"/>
  <c r="E200" i="4" s="1"/>
  <c r="C40" i="9" l="1"/>
  <c r="H40" i="9" s="1"/>
  <c r="F200" i="4"/>
  <c r="F39" i="9"/>
  <c r="AN96" i="4"/>
  <c r="AO97" i="4" s="1"/>
  <c r="E40" i="9" l="1"/>
  <c r="F40" i="9" s="1"/>
  <c r="AO99" i="4" l="1"/>
  <c r="AO101" i="4" s="1"/>
  <c r="AO103" i="4" s="1"/>
  <c r="AP97" i="4"/>
  <c r="E83" i="23" s="1"/>
  <c r="AO96" i="4"/>
  <c r="E85" i="23" l="1"/>
  <c r="E87" i="23" s="1"/>
  <c r="E89" i="23" s="1"/>
  <c r="E201" i="4"/>
  <c r="AP96" i="4"/>
  <c r="AQ97" i="4" s="1"/>
  <c r="AP99" i="4"/>
  <c r="AP101" i="4" s="1"/>
  <c r="AP103" i="4" s="1"/>
  <c r="AQ99" i="4" l="1"/>
  <c r="AQ101" i="4" s="1"/>
  <c r="AQ103" i="4" s="1"/>
  <c r="E202" i="4" s="1"/>
  <c r="C41" i="9"/>
  <c r="H41" i="9" s="1"/>
  <c r="F201" i="4"/>
  <c r="H201" i="4"/>
  <c r="AQ96" i="4"/>
  <c r="AR97" i="4" s="1"/>
  <c r="E41" i="9" l="1"/>
  <c r="C42" i="9"/>
  <c r="H42" i="9" s="1"/>
  <c r="F202" i="4"/>
  <c r="AR99" i="4" l="1"/>
  <c r="AR101" i="4" s="1"/>
  <c r="AR103" i="4" s="1"/>
  <c r="E203" i="4" s="1"/>
  <c r="C43" i="9" s="1"/>
  <c r="H43" i="9" s="1"/>
  <c r="AR96" i="4"/>
  <c r="E42" i="9"/>
  <c r="F41" i="9"/>
  <c r="E66" i="9"/>
  <c r="AS97" i="4" l="1"/>
  <c r="AS99" i="4" s="1"/>
  <c r="AS101" i="4" s="1"/>
  <c r="AS103" i="4" s="1"/>
  <c r="E204" i="4" s="1"/>
  <c r="F203" i="4"/>
  <c r="F42" i="9"/>
  <c r="E43" i="9"/>
  <c r="AS96" i="4" l="1"/>
  <c r="AT97" i="4" s="1"/>
  <c r="AT99" i="4" s="1"/>
  <c r="AT101" i="4" s="1"/>
  <c r="AT103" i="4" s="1"/>
  <c r="F43" i="9"/>
  <c r="C44" i="9"/>
  <c r="H44" i="9" s="1"/>
  <c r="F204" i="4"/>
  <c r="AT96" i="4" l="1"/>
  <c r="AU97" i="4" s="1"/>
  <c r="E44" i="9"/>
  <c r="F44" i="9" s="1"/>
  <c r="E205" i="4"/>
  <c r="C45" i="9" l="1"/>
  <c r="H45" i="9" s="1"/>
  <c r="F205" i="4"/>
  <c r="AU99" i="4"/>
  <c r="AU101" i="4" s="1"/>
  <c r="AU103" i="4" s="1"/>
  <c r="AU96" i="4"/>
  <c r="AV97" i="4" s="1"/>
  <c r="E45" i="9" l="1"/>
  <c r="E206" i="4"/>
  <c r="F206" i="4" l="1"/>
  <c r="C46" i="9"/>
  <c r="H46" i="9" s="1"/>
  <c r="F45" i="9"/>
  <c r="AV99" i="4"/>
  <c r="AV101" i="4" s="1"/>
  <c r="AV103" i="4" s="1"/>
  <c r="E207" i="4" s="1"/>
  <c r="AV96" i="4"/>
  <c r="AW97" i="4" s="1"/>
  <c r="E46" i="9" l="1"/>
  <c r="F46" i="9" s="1"/>
  <c r="C47" i="9"/>
  <c r="H47" i="9" s="1"/>
  <c r="F207" i="4"/>
  <c r="AW99" i="4" l="1"/>
  <c r="AW101" i="4" s="1"/>
  <c r="AW103" i="4" s="1"/>
  <c r="E208" i="4" s="1"/>
  <c r="C48" i="9" s="1"/>
  <c r="H48" i="9" s="1"/>
  <c r="E47" i="9"/>
  <c r="F47" i="9" s="1"/>
  <c r="AW96" i="4"/>
  <c r="AX97" i="4" s="1"/>
  <c r="F208" i="4" l="1"/>
  <c r="E48" i="9"/>
  <c r="F48" i="9" s="1"/>
  <c r="AX99" i="4" l="1"/>
  <c r="AX101" i="4" s="1"/>
  <c r="AX103" i="4" s="1"/>
  <c r="E209" i="4" s="1"/>
  <c r="C49" i="9" s="1"/>
  <c r="H49" i="9" s="1"/>
  <c r="AX96" i="4"/>
  <c r="AY97" i="4" s="1"/>
  <c r="F209" i="4" l="1"/>
  <c r="E49" i="9"/>
  <c r="AY99" i="4" l="1"/>
  <c r="AY101" i="4" s="1"/>
  <c r="AY103" i="4" s="1"/>
  <c r="E210" i="4" s="1"/>
  <c r="F210" i="4" s="1"/>
  <c r="F49" i="9"/>
  <c r="AY96" i="4"/>
  <c r="AZ97" i="4" s="1"/>
  <c r="C50" i="9" l="1"/>
  <c r="H50" i="9" s="1"/>
  <c r="AZ99" i="4"/>
  <c r="AZ101" i="4" s="1"/>
  <c r="AZ103" i="4" s="1"/>
  <c r="E211" i="4" s="1"/>
  <c r="E50" i="9" l="1"/>
  <c r="F50" i="9" s="1"/>
  <c r="F211" i="4"/>
  <c r="C51" i="9"/>
  <c r="H51" i="9" s="1"/>
  <c r="AZ96" i="4"/>
  <c r="BA97" i="4" s="1"/>
  <c r="E51" i="9" l="1"/>
  <c r="F51" i="9" s="1"/>
  <c r="BA99" i="4"/>
  <c r="BA101" i="4" s="1"/>
  <c r="BA103" i="4" s="1"/>
  <c r="E212" i="4" s="1"/>
  <c r="C52" i="9" l="1"/>
  <c r="H52" i="9" s="1"/>
  <c r="F212" i="4"/>
  <c r="BA96" i="4"/>
  <c r="BB97" i="4" s="1"/>
  <c r="E52" i="9" l="1"/>
  <c r="F52" i="9" l="1"/>
  <c r="BB99" i="4"/>
  <c r="BB101" i="4" s="1"/>
  <c r="BB103" i="4" s="1"/>
  <c r="BC97" i="4"/>
  <c r="F83" i="23" s="1"/>
  <c r="BB96" i="4"/>
  <c r="F85" i="23" l="1"/>
  <c r="F87" i="23" s="1"/>
  <c r="F89" i="23" s="1"/>
  <c r="E213" i="4"/>
  <c r="BC96" i="4"/>
  <c r="BD97" i="4" s="1"/>
  <c r="BC99" i="4"/>
  <c r="BC101" i="4" s="1"/>
  <c r="BC103" i="4" s="1"/>
  <c r="BD99" i="4" l="1"/>
  <c r="BD101" i="4" s="1"/>
  <c r="BD103" i="4" s="1"/>
  <c r="E214" i="4" s="1"/>
  <c r="C54" i="9" s="1"/>
  <c r="C53" i="9"/>
  <c r="H53" i="9" s="1"/>
  <c r="F213" i="4"/>
  <c r="H213" i="4"/>
  <c r="BD96" i="4"/>
  <c r="BE97" i="4" s="1"/>
  <c r="H54" i="9" l="1"/>
  <c r="F214" i="4"/>
  <c r="E53" i="9"/>
  <c r="BE99" i="4" l="1"/>
  <c r="BE101" i="4" s="1"/>
  <c r="BE103" i="4" s="1"/>
  <c r="E215" i="4" s="1"/>
  <c r="F215" i="4" s="1"/>
  <c r="BE96" i="4"/>
  <c r="F53" i="9"/>
  <c r="E54" i="9"/>
  <c r="BF97" i="4" l="1"/>
  <c r="BF99" i="4" s="1"/>
  <c r="BF101" i="4" s="1"/>
  <c r="BF103" i="4" s="1"/>
  <c r="E216" i="4" s="1"/>
  <c r="C55" i="9"/>
  <c r="H55" i="9" s="1"/>
  <c r="F54" i="9"/>
  <c r="F216" i="4" l="1"/>
  <c r="C56" i="9"/>
  <c r="H56" i="9" s="1"/>
  <c r="BF96" i="4"/>
  <c r="BG97" i="4" s="1"/>
  <c r="BG99" i="4" s="1"/>
  <c r="BG101" i="4" s="1"/>
  <c r="BG103" i="4" s="1"/>
  <c r="E217" i="4" s="1"/>
  <c r="E55" i="9"/>
  <c r="F55" i="9" s="1"/>
  <c r="BG96" i="4" l="1"/>
  <c r="BH97" i="4" s="1"/>
  <c r="E56" i="9"/>
  <c r="F56" i="9" s="1"/>
  <c r="F217" i="4"/>
  <c r="C57" i="9"/>
  <c r="H57" i="9" s="1"/>
  <c r="E57" i="9" l="1"/>
  <c r="F57" i="9" s="1"/>
  <c r="BH99" i="4"/>
  <c r="BH101" i="4" s="1"/>
  <c r="BH103" i="4" s="1"/>
  <c r="E218" i="4" s="1"/>
  <c r="BH96" i="4"/>
  <c r="BI97" i="4" s="1"/>
  <c r="F218" i="4" l="1"/>
  <c r="C58" i="9"/>
  <c r="H58" i="9" s="1"/>
  <c r="E58" i="9" l="1"/>
  <c r="BI99" i="4"/>
  <c r="BI101" i="4" s="1"/>
  <c r="BI103" i="4" s="1"/>
  <c r="E219" i="4" s="1"/>
  <c r="BI96" i="4"/>
  <c r="BJ97" i="4" s="1"/>
  <c r="C59" i="9" l="1"/>
  <c r="F219" i="4"/>
  <c r="F58" i="9"/>
  <c r="E59" i="9" l="1"/>
  <c r="F59" i="9" s="1"/>
  <c r="H59" i="9"/>
  <c r="BJ99" i="4"/>
  <c r="BJ101" i="4" s="1"/>
  <c r="BJ103" i="4" s="1"/>
  <c r="E220" i="4" s="1"/>
  <c r="C60" i="9" s="1"/>
  <c r="BJ96" i="4"/>
  <c r="BK97" i="4" s="1"/>
  <c r="E60" i="9" l="1"/>
  <c r="F60" i="9" s="1"/>
  <c r="H60" i="9"/>
  <c r="F220" i="4"/>
  <c r="BK99" i="4" l="1"/>
  <c r="BK101" i="4" s="1"/>
  <c r="BK103" i="4" s="1"/>
  <c r="E221" i="4" s="1"/>
  <c r="C61" i="9" s="1"/>
  <c r="H61" i="9" s="1"/>
  <c r="BK96" i="4"/>
  <c r="BL97" i="4" s="1"/>
  <c r="F221" i="4" l="1"/>
  <c r="E61" i="9"/>
  <c r="BL99" i="4" l="1"/>
  <c r="BL101" i="4" s="1"/>
  <c r="BL103" i="4" s="1"/>
  <c r="E222" i="4" s="1"/>
  <c r="F222" i="4" s="1"/>
  <c r="F61" i="9"/>
  <c r="BL96" i="4"/>
  <c r="BM97" i="4" s="1"/>
  <c r="C62" i="9" l="1"/>
  <c r="BM99" i="4"/>
  <c r="BM101" i="4" s="1"/>
  <c r="BM103" i="4" s="1"/>
  <c r="E223" i="4" s="1"/>
  <c r="E62" i="9" l="1"/>
  <c r="F62" i="9" s="1"/>
  <c r="H62" i="9"/>
  <c r="C63" i="9"/>
  <c r="F223" i="4"/>
  <c r="BM96" i="4"/>
  <c r="BN97" i="4" s="1"/>
  <c r="H63" i="9" l="1"/>
  <c r="E63" i="9"/>
  <c r="BN99" i="4"/>
  <c r="BN101" i="4" s="1"/>
  <c r="BN103" i="4" s="1"/>
  <c r="E224" i="4" s="1"/>
  <c r="F63" i="9" l="1"/>
  <c r="C64" i="9"/>
  <c r="E64" i="9" s="1"/>
  <c r="F224" i="4"/>
  <c r="BN96" i="4"/>
  <c r="BO97" i="4" s="1"/>
  <c r="H64" i="9" l="1"/>
  <c r="F64" i="9"/>
  <c r="BO99" i="4" l="1"/>
  <c r="BO101" i="4" s="1"/>
  <c r="BO103" i="4" s="1"/>
  <c r="E225" i="4" s="1"/>
  <c r="BP97" i="4"/>
  <c r="G83" i="23" s="1"/>
  <c r="BO96" i="4"/>
  <c r="G85" i="23" l="1"/>
  <c r="G87" i="23" s="1"/>
  <c r="G89" i="23" s="1"/>
  <c r="H83" i="23"/>
  <c r="H85" i="23" s="1"/>
  <c r="H87" i="23" s="1"/>
  <c r="H89" i="23" s="1"/>
  <c r="C65" i="9"/>
  <c r="H65" i="9" s="1"/>
  <c r="F225" i="4"/>
  <c r="E226" i="4"/>
  <c r="F226" i="4" s="1"/>
  <c r="H225" i="4"/>
  <c r="H227" i="4" s="1"/>
  <c r="BP99" i="4"/>
  <c r="BP101" i="4" s="1"/>
  <c r="BP103" i="4" s="1"/>
  <c r="BQ97" i="4"/>
  <c r="BQ99" i="4" s="1"/>
  <c r="BQ101" i="4" s="1"/>
  <c r="BQ103" i="4" s="1"/>
  <c r="C66" i="9" l="1"/>
  <c r="E65" i="9"/>
  <c r="F65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Bayne</author>
  </authors>
  <commentList>
    <comment ref="C19" authorId="0" shapeId="0" xr:uid="{10D84406-8112-744E-88DB-4F03D75321CC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32" authorId="0" shapeId="0" xr:uid="{0A8D2FD3-81B9-1444-AD77-625C570CEB6E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45" authorId="0" shapeId="0" xr:uid="{6088C004-D196-8E48-83CB-67D1084D4BBB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58" authorId="0" shapeId="0" xr:uid="{A4DD11A4-EFC2-BE46-A567-9B58060085BE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71" authorId="0" shapeId="0" xr:uid="{23F49F98-85B4-1145-8BFE-2B45D32B8F9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84" authorId="0" shapeId="0" xr:uid="{B0452F05-F199-E049-9319-D651124A29C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97" authorId="0" shapeId="0" xr:uid="{6D45517F-FD18-694C-B2BA-BBB78E8AF85C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10" authorId="0" shapeId="0" xr:uid="{4FE7C89C-994E-F845-8757-97EA4AB28BDC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23" authorId="0" shapeId="0" xr:uid="{D653EE13-A1BB-A94D-97C1-F0DB54ECF0C6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36" authorId="0" shapeId="0" xr:uid="{FD8D9CB1-ADD8-9747-9117-197A4F874500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49" authorId="0" shapeId="0" xr:uid="{280A2705-FE13-E74A-97E1-4E0F86728127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62" authorId="0" shapeId="0" xr:uid="{EBEBF830-B769-E649-BFA9-E047F748D1C3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75" authorId="0" shapeId="0" xr:uid="{26CCC9D8-AB69-9E4D-B398-361E2666D5A4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88" authorId="0" shapeId="0" xr:uid="{3A61EE94-508E-7F4B-BC95-0FCB4546F28F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201" authorId="0" shapeId="0" xr:uid="{ECD31E27-CCAB-A844-8068-1F26FC0EE806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Bayne</author>
  </authors>
  <commentList>
    <comment ref="C19" authorId="0" shapeId="0" xr:uid="{B1FDED8F-398F-A749-8280-370967CAB5B9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32" authorId="0" shapeId="0" xr:uid="{1811DEE2-5E2C-D445-9BAE-91980E50B2A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45" authorId="0" shapeId="0" xr:uid="{CB459439-80A8-1F43-B1D1-74028A92A09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58" authorId="0" shapeId="0" xr:uid="{34CA9E9E-7EA0-3342-9E36-4F9EDEDBA4F7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71" authorId="0" shapeId="0" xr:uid="{0F08C4DD-68CB-684A-903C-13C4E8AFE46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84" authorId="0" shapeId="0" xr:uid="{6A373F2F-B15B-4A44-A822-2258F60AB5FA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97" authorId="0" shapeId="0" xr:uid="{862A6DA4-3B2A-624A-B5B7-9BD563A82CB0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10" authorId="0" shapeId="0" xr:uid="{7E294796-EE84-954C-816C-77B8172317CA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23" authorId="0" shapeId="0" xr:uid="{A2CCA78C-A10E-6D46-B777-5DFAD20691C1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Bayne</author>
  </authors>
  <commentList>
    <comment ref="C19" authorId="0" shapeId="0" xr:uid="{EB0412EE-E781-334D-AA75-5BCD674BB586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32" authorId="0" shapeId="0" xr:uid="{F3A42D6A-1B1E-0B40-A61B-8CDD37C2F5A6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45" authorId="0" shapeId="0" xr:uid="{536A0DBB-F60E-AD4E-93C2-099B848D4DD5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58" authorId="0" shapeId="0" xr:uid="{E81CDE0B-1FAE-1349-90FA-F44B6B75501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71" authorId="0" shapeId="0" xr:uid="{F8F2406F-761C-6A49-A4D6-5FFDC38ACBB4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84" authorId="0" shapeId="0" xr:uid="{C8701930-98C5-1A46-B2C6-6D004904E420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97" authorId="0" shapeId="0" xr:uid="{3D40DCE8-0561-B942-82F6-8F35D267CB6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10" authorId="0" shapeId="0" xr:uid="{2D590588-6FEF-CF4F-BCBE-F283E630750B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23" authorId="0" shapeId="0" xr:uid="{2F3656AE-1E10-FB4D-9BE1-9F570783ED03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Bayne</author>
  </authors>
  <commentList>
    <comment ref="C19" authorId="0" shapeId="0" xr:uid="{27172F6C-1A8C-FC41-8CE6-CD423FA4DFF0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32" authorId="0" shapeId="0" xr:uid="{91BD1722-5185-564E-9DC3-DD2F3E42EB8F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45" authorId="0" shapeId="0" xr:uid="{ECFB3C15-0EAE-3141-94B2-7FCB14287F53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58" authorId="0" shapeId="0" xr:uid="{6C56B87C-8E9E-0048-8C8F-3A70A7D736DA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Bayne</author>
  </authors>
  <commentList>
    <comment ref="C19" authorId="0" shapeId="0" xr:uid="{AC8E2643-EDB1-7946-8095-C50492956B34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32" authorId="0" shapeId="0" xr:uid="{692A1965-3290-AC4D-864B-CD92380D4218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45" authorId="0" shapeId="0" xr:uid="{36246138-CBDE-1B4D-B394-F03BDA42EA2A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58" authorId="0" shapeId="0" xr:uid="{AB296061-41E8-4A4C-BDA0-E65BF44480DB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71" authorId="0" shapeId="0" xr:uid="{725B0CB7-FAB7-2E4B-BADF-65295B580CCE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84" authorId="0" shapeId="0" xr:uid="{63439417-7406-1348-822C-955DC020B7EE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97" authorId="0" shapeId="0" xr:uid="{BC57E974-D471-CC48-98F2-BE3F2F730C7F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10" authorId="0" shapeId="0" xr:uid="{0548E61C-414D-BE45-A4DF-AC8A4874B68C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23" authorId="0" shapeId="0" xr:uid="{48AA04FE-EE72-7744-907D-8A424B13A5F2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Bayne</author>
  </authors>
  <commentList>
    <comment ref="C19" authorId="0" shapeId="0" xr:uid="{772FDEC3-FDFA-0C4A-BB9E-A40EB7345650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32" authorId="0" shapeId="0" xr:uid="{C2ECA06D-22D5-B84B-8202-8DB5D77AC2DD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45" authorId="0" shapeId="0" xr:uid="{D9E3986E-8E34-EC41-80FF-4B340B756DF1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58" authorId="0" shapeId="0" xr:uid="{D7D3E4EA-75BD-4745-8255-AE92338FDCEE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71" authorId="0" shapeId="0" xr:uid="{59D74F52-3159-0B4D-8B6D-B5EE7552F9F6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84" authorId="0" shapeId="0" xr:uid="{404793FE-02BB-B94C-A277-8911EC3963AB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97" authorId="0" shapeId="0" xr:uid="{954CE57F-01EB-6A41-88FD-C83ECB16EC2A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10" authorId="0" shapeId="0" xr:uid="{FCBD8E62-9335-974B-828C-A1B7BA925E03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  <comment ref="C123" authorId="0" shapeId="0" xr:uid="{9CF68040-A38C-124A-94C5-BCFE5154FDD5}">
      <text>
        <r>
          <rPr>
            <b/>
            <sz val="9"/>
            <color rgb="FF000000"/>
            <rFont val="Tahoma"/>
            <family val="2"/>
          </rPr>
          <t>Trey Bayne: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Always use first day of month</t>
        </r>
      </text>
    </comment>
  </commentList>
</comments>
</file>

<file path=xl/sharedStrings.xml><?xml version="1.0" encoding="utf-8"?>
<sst xmlns="http://schemas.openxmlformats.org/spreadsheetml/2006/main" count="10970" uniqueCount="1160">
  <si>
    <t>All-Stars Forecasting Model</t>
  </si>
  <si>
    <t>Assumptions Used in Cash Flow Projections</t>
  </si>
  <si>
    <t>5-Year</t>
  </si>
  <si>
    <t>Leagues</t>
  </si>
  <si>
    <t>Gross Revenue</t>
  </si>
  <si>
    <t>Net Revenue</t>
  </si>
  <si>
    <t>League Rev Share</t>
  </si>
  <si>
    <t>Fighter Rev Share</t>
  </si>
  <si>
    <t>Year 1 - 3 releases 5 products</t>
  </si>
  <si>
    <t>Year 2 - 4 releases 7 products</t>
  </si>
  <si>
    <t>Year 3 - 6 releases 9 products</t>
  </si>
  <si>
    <t>Year 4 - 8 releases 12 products</t>
  </si>
  <si>
    <t>Year 5 - 10 releases 15 products</t>
  </si>
  <si>
    <t>GOT</t>
  </si>
  <si>
    <t>200 box</t>
  </si>
  <si>
    <t>One Time</t>
  </si>
  <si>
    <t>100 card set - 350k boxes Marvel - 20 box case</t>
  </si>
  <si>
    <t>Cases</t>
  </si>
  <si>
    <t>MSRP</t>
  </si>
  <si>
    <t>Wholesale</t>
  </si>
  <si>
    <t>Revenue</t>
  </si>
  <si>
    <t>COGS</t>
  </si>
  <si>
    <t>Margin</t>
  </si>
  <si>
    <t>License</t>
  </si>
  <si>
    <t>YAAS Net</t>
  </si>
  <si>
    <t>Large</t>
  </si>
  <si>
    <t>Medium</t>
  </si>
  <si>
    <t>Small</t>
  </si>
  <si>
    <t>Test</t>
  </si>
  <si>
    <t>BKFC</t>
  </si>
  <si>
    <t>march 2026 1st release</t>
  </si>
  <si>
    <t>Release every 3 months</t>
  </si>
  <si>
    <t>PFL</t>
  </si>
  <si>
    <t>october 2026 1st release</t>
  </si>
  <si>
    <t>Test and Small for next couple of years</t>
  </si>
  <si>
    <t>8 tests, 2 smalls</t>
  </si>
  <si>
    <t>1 medium, 10 tests, 4 smalls</t>
  </si>
  <si>
    <t>1 large, 3 medium, 6 smalls, 16 tests</t>
  </si>
  <si>
    <t>Services/Inside Card - grow 50% YOY</t>
  </si>
  <si>
    <t>Sponsorships - grow 100% YOY</t>
  </si>
  <si>
    <t>Investors</t>
  </si>
  <si>
    <t>Founders</t>
  </si>
  <si>
    <t>Media All-Stars</t>
  </si>
  <si>
    <t>Collectible All-Stars</t>
  </si>
  <si>
    <t>YAAS</t>
  </si>
  <si>
    <t>12 Month Forecast</t>
  </si>
  <si>
    <t>Release 1A</t>
  </si>
  <si>
    <t>Release 2A</t>
  </si>
  <si>
    <t>Release 3A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</si>
  <si>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</si>
  <si>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</si>
  <si>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</si>
  <si>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</si>
  <si>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</si>
  <si>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</si>
  <si>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</si>
  <si>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</si>
  <si>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</si>
  <si>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</si>
  <si>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</si>
  <si>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</si>
  <si>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1Q</t>
  </si>
  <si>
    <t>2Q</t>
  </si>
  <si>
    <t>3Q</t>
  </si>
  <si>
    <t>4Q</t>
  </si>
  <si>
    <t>Year 1 Total</t>
  </si>
  <si>
    <t>Physical Card Revenue (wholesale)</t>
  </si>
  <si>
    <t>Inside Card Revenue</t>
  </si>
  <si>
    <t>Sponsorship Revenue</t>
  </si>
  <si>
    <t>Services Revenue</t>
  </si>
  <si>
    <t>Total Revenue</t>
  </si>
  <si>
    <t>Cost of Goods Sold</t>
  </si>
  <si>
    <t>Cards &amp; Packaging</t>
  </si>
  <si>
    <t>Freight &amp; Fulfillment</t>
  </si>
  <si>
    <t>Total COGS</t>
  </si>
  <si>
    <t>Note: Reflects card/packaging costs 2 months prior to release with costs split across two months</t>
  </si>
  <si>
    <t>League &amp; Fighter Rev Share</t>
  </si>
  <si>
    <t>Rev Share</t>
  </si>
  <si>
    <t>Ph. Card BKFC/Fighter Rev Share</t>
  </si>
  <si>
    <t>Inside Card BKFC/Fighter Rev Share</t>
  </si>
  <si>
    <t>Sponsorship BKFC/Fighter Rev Share</t>
  </si>
  <si>
    <t>Services BKFC/Fighter Rev Share</t>
  </si>
  <si>
    <t>Physical Card BKFC/Fighter Rev Share</t>
  </si>
  <si>
    <t>Note: Rev share for Physical Cards is reflected the month following the Release, all other the month after Revenue is realized</t>
  </si>
  <si>
    <t>Gross Margin</t>
  </si>
  <si>
    <t>Total Gross Margin</t>
  </si>
  <si>
    <t>Operational Expenses</t>
  </si>
  <si>
    <t>Salaries &amp; Contractors</t>
  </si>
  <si>
    <t>Salaries</t>
  </si>
  <si>
    <t>Payroll Taxes</t>
  </si>
  <si>
    <t>Benefits (Health, Dental, 401K, etc.)</t>
  </si>
  <si>
    <t>Contractors/Other</t>
  </si>
  <si>
    <t>Total Salaries and Contractors</t>
  </si>
  <si>
    <t>Marketing &amp; Development (Outsourced)</t>
  </si>
  <si>
    <t>Branding/Design</t>
  </si>
  <si>
    <t>Digital Assets Product/UXUI</t>
  </si>
  <si>
    <t>Digtal Assets Marketing</t>
  </si>
  <si>
    <t>Video Production</t>
  </si>
  <si>
    <t>Contractor Development/QA</t>
  </si>
  <si>
    <t>Project Management</t>
  </si>
  <si>
    <t>Media &amp; Social Media</t>
  </si>
  <si>
    <t>Public Relations</t>
  </si>
  <si>
    <t>Total Marketing &amp; Development</t>
  </si>
  <si>
    <t>SG&amp;A</t>
  </si>
  <si>
    <t>Insurance</t>
  </si>
  <si>
    <t>Rent</t>
  </si>
  <si>
    <t>Storage</t>
  </si>
  <si>
    <t>Office supplies/collateral</t>
  </si>
  <si>
    <t>Travel</t>
  </si>
  <si>
    <t>Computers/Equipment</t>
  </si>
  <si>
    <t>software licensing (CRM, analytics, dev)</t>
  </si>
  <si>
    <t>Miscellaneous</t>
  </si>
  <si>
    <t>Total SG&amp;A</t>
  </si>
  <si>
    <t>Professional Services</t>
  </si>
  <si>
    <t>Legal</t>
  </si>
  <si>
    <t>Accounting</t>
  </si>
  <si>
    <t>Platform Hosting</t>
  </si>
  <si>
    <t>Total Professional Services</t>
  </si>
  <si>
    <t>Total Operating Expense</t>
  </si>
  <si>
    <t>EBITDA</t>
  </si>
  <si>
    <t>60 Month Forecast</t>
  </si>
  <si>
    <t>Year 2 Total</t>
  </si>
  <si>
    <t>Year 3 Total</t>
  </si>
  <si>
    <t>Year 4 Total</t>
  </si>
  <si>
    <t>Year 5 Total</t>
  </si>
  <si>
    <t>Lifetime Total</t>
  </si>
  <si>
    <t>Manufacturer</t>
  </si>
  <si>
    <t>You Are All-Stars</t>
  </si>
  <si>
    <t>Percent Wholesale</t>
  </si>
  <si>
    <t>Total Net Rev</t>
  </si>
  <si>
    <t>Brand</t>
  </si>
  <si>
    <t>All-Stars</t>
  </si>
  <si>
    <t>League</t>
  </si>
  <si>
    <t>Percent Cost</t>
  </si>
  <si>
    <t>Product</t>
  </si>
  <si>
    <t>FlagShip</t>
  </si>
  <si>
    <t>Release Date</t>
  </si>
  <si>
    <t>TBD</t>
  </si>
  <si>
    <t>Holo</t>
  </si>
  <si>
    <t>Jewel</t>
  </si>
  <si>
    <t>Total Cases</t>
  </si>
  <si>
    <t xml:space="preserve"> - ideal for building full sets year after year</t>
  </si>
  <si>
    <t>Category</t>
  </si>
  <si>
    <t>Detail</t>
  </si>
  <si>
    <t>Total Boxes</t>
  </si>
  <si>
    <t>Class</t>
  </si>
  <si>
    <t>Standard</t>
  </si>
  <si>
    <t xml:space="preserve">Premium </t>
  </si>
  <si>
    <t>Ultra-Premium</t>
  </si>
  <si>
    <t>Total Cards</t>
  </si>
  <si>
    <t>Sport</t>
  </si>
  <si>
    <t>combat</t>
  </si>
  <si>
    <t>Product Year</t>
  </si>
  <si>
    <t>Pre-Production</t>
  </si>
  <si>
    <t>Graphic Design (base, inserts, parallels, packaging)</t>
  </si>
  <si>
    <t xml:space="preserve">League/IP </t>
  </si>
  <si>
    <t>Photography (fighter/event/licensed images)</t>
  </si>
  <si>
    <t>Tota Fighters</t>
  </si>
  <si>
    <t>Base Thickness:</t>
  </si>
  <si>
    <t>20 pt</t>
  </si>
  <si>
    <t>35 pt</t>
  </si>
  <si>
    <t>75 pt</t>
  </si>
  <si>
    <t>Copywriting (bios, stats, trivia)</t>
  </si>
  <si>
    <t>Cards/Fighter</t>
  </si>
  <si>
    <t>Template/Mockup Creation</t>
  </si>
  <si>
    <t>Product 1</t>
  </si>
  <si>
    <t>Set Planning &amp; Checklists</t>
  </si>
  <si>
    <t>Total Autos</t>
  </si>
  <si>
    <t>Box Style</t>
  </si>
  <si>
    <t>Hobby</t>
  </si>
  <si>
    <t>Outlet(s)</t>
  </si>
  <si>
    <t>Hobby Shop 
Breaker</t>
  </si>
  <si>
    <t>Licensing</t>
  </si>
  <si>
    <t>Fighter Likeness Licensing (150 fighters)</t>
  </si>
  <si>
    <t>Fighters</t>
  </si>
  <si>
    <t>Model Number</t>
  </si>
  <si>
    <t>AS-BKFC-25-F-H-0001</t>
  </si>
  <si>
    <t xml:space="preserve">UPC/Barcode: </t>
  </si>
  <si>
    <t>AS-BKFC-25-H-H-0003</t>
  </si>
  <si>
    <t>AS-BKFC-25-J-H</t>
  </si>
  <si>
    <t>League/IP Licensing</t>
  </si>
  <si>
    <t>Autos/Fighter</t>
  </si>
  <si>
    <t>Configuration:</t>
  </si>
  <si>
    <t>Printing &amp; Manufacturing</t>
  </si>
  <si>
    <t>Card Printing (base + 5 inserts + parallels)</t>
  </si>
  <si>
    <t>Number of Cases</t>
  </si>
  <si>
    <t>Premium Finishes (foils, UV, embossing)</t>
  </si>
  <si>
    <t>BKFC/Fighter Rev</t>
  </si>
  <si>
    <t>Boxes per Case</t>
  </si>
  <si>
    <t>Cards per box</t>
  </si>
  <si>
    <t>Insert Printing (5 types)</t>
  </si>
  <si>
    <t>Inside Card</t>
  </si>
  <si>
    <t>Packs per Box</t>
  </si>
  <si>
    <t>Parallels (e.g., /25, /10, 1/1 variants)</t>
  </si>
  <si>
    <t>Sponsorships</t>
  </si>
  <si>
    <t>Cards per Pack</t>
  </si>
  <si>
    <t>Packaging (boxes, wrappers)</t>
  </si>
  <si>
    <t>Services</t>
  </si>
  <si>
    <t>Art, Autographs, Memorabilia</t>
  </si>
  <si>
    <t>Cost?</t>
  </si>
  <si>
    <t>Setup/Proofing Fees</t>
  </si>
  <si>
    <t>Figther Rev</t>
  </si>
  <si>
    <t>Price per box</t>
  </si>
  <si>
    <t>Logistics &amp; Fulfillment</t>
  </si>
  <si>
    <t>Warehousing</t>
  </si>
  <si>
    <t>Price per case</t>
  </si>
  <si>
    <t>Fulfillment (sorting, packing)</t>
  </si>
  <si>
    <t>YAAS Net Revenue</t>
  </si>
  <si>
    <t>Total</t>
  </si>
  <si>
    <t>Shipping Materials</t>
  </si>
  <si>
    <t>Net Rev</t>
  </si>
  <si>
    <t>Distribution Fees (to retailers/platforms)</t>
  </si>
  <si>
    <t>Total Figther Rev</t>
  </si>
  <si>
    <t>Cost per card</t>
  </si>
  <si>
    <t>Cards/Figher</t>
  </si>
  <si>
    <t>Marketing &amp; Promotion</t>
  </si>
  <si>
    <t>Social Media Campaigns</t>
  </si>
  <si>
    <t>~Rev per Auto</t>
  </si>
  <si>
    <t>Net Rev/Card</t>
  </si>
  <si>
    <t>Rev/Fighter</t>
  </si>
  <si>
    <t>Influencer/Collab Promotions</t>
  </si>
  <si>
    <t>Box Break</t>
  </si>
  <si>
    <t>1 autograph</t>
  </si>
  <si>
    <t>2 autographs</t>
  </si>
  <si>
    <t>4 autographs/Mem</t>
  </si>
  <si>
    <t>Paid Ads (Google, IG, FB)</t>
  </si>
  <si>
    <t>1 box hit</t>
  </si>
  <si>
    <t>4 base cards / parallels</t>
  </si>
  <si>
    <t>Launch Event/PR - National</t>
  </si>
  <si>
    <t>Cost Launch</t>
  </si>
  <si>
    <t>Cost Split</t>
  </si>
  <si>
    <t xml:space="preserve">2 insert </t>
  </si>
  <si>
    <t>Minus Mos</t>
  </si>
  <si>
    <t>Months</t>
  </si>
  <si>
    <t>Product 2</t>
  </si>
  <si>
    <t>Release 1</t>
  </si>
  <si>
    <t>Blaster</t>
  </si>
  <si>
    <t xml:space="preserve">Retail </t>
  </si>
  <si>
    <t>Release 2</t>
  </si>
  <si>
    <t>AS-BKFC-25-F-B-0002</t>
  </si>
  <si>
    <t>AS-BKFC-25-H-B-0004</t>
  </si>
  <si>
    <t>Release 3</t>
  </si>
  <si>
    <t>Freight Cost per Pallet</t>
  </si>
  <si>
    <t>Cases per Pallet</t>
  </si>
  <si>
    <t>Blaster Exclusive Parallel</t>
  </si>
  <si>
    <t>1 per pack</t>
  </si>
  <si>
    <t>Retail Exclusive Autographs</t>
  </si>
  <si>
    <t>1 per case</t>
  </si>
  <si>
    <t>Pallets</t>
  </si>
  <si>
    <t>Count</t>
  </si>
  <si>
    <t>Cost</t>
  </si>
  <si>
    <t>Insurance Type</t>
  </si>
  <si>
    <t>Typical Annual Cost</t>
  </si>
  <si>
    <t>Est. Monthly Range</t>
  </si>
  <si>
    <t>Monthly Estimate</t>
  </si>
  <si>
    <t>Notes</t>
  </si>
  <si>
    <t>General Liability (GL)</t>
  </si>
  <si>
    <t>$600–$1,200/year</t>
  </si>
  <si>
    <t>$50–$100/month</t>
  </si>
  <si>
    <t>Needed for product sales (big box, retail, online)</t>
  </si>
  <si>
    <r>
      <rPr>
        <b/>
        <sz val="11"/>
        <color theme="1"/>
        <rFont val="Calibri"/>
        <family val="2"/>
      </rPr>
      <t>Business Property Insurance</t>
    </r>
    <r>
      <rPr>
        <sz val="11"/>
        <color theme="1"/>
        <rFont val="Calibri"/>
        <family val="2"/>
      </rPr>
      <t xml:space="preserve"> (inventory while stored)</t>
    </r>
  </si>
  <si>
    <t>$800–$2,000/year</t>
  </si>
  <si>
    <t>$65–$165/month</t>
  </si>
  <si>
    <t>Covers your cards at warehouse or storage</t>
  </si>
  <si>
    <r>
      <rPr>
        <b/>
        <sz val="11"/>
        <color theme="1"/>
        <rFont val="Calibri"/>
        <family val="2"/>
      </rPr>
      <t>Inland Marine Insurance</t>
    </r>
    <r>
      <rPr>
        <sz val="11"/>
        <color theme="1"/>
        <rFont val="Calibri"/>
        <family val="2"/>
      </rPr>
      <t xml:space="preserve"> (goods in transit)</t>
    </r>
  </si>
  <si>
    <t>$500–$1,500/year</t>
  </si>
  <si>
    <t>$40–$125/month</t>
  </si>
  <si>
    <t>Covers cards while being shipped anywhere</t>
  </si>
  <si>
    <t>Directors &amp; Officers (D&amp;O)</t>
  </si>
  <si>
    <t>$2,000–$5,000/year</t>
  </si>
  <si>
    <t>$165–$415/month</t>
  </si>
  <si>
    <t>Protects you, your board, and founders from lawsuits</t>
  </si>
  <si>
    <r>
      <rPr>
        <b/>
        <sz val="11"/>
        <color theme="1"/>
        <rFont val="Calibri"/>
        <family val="2"/>
      </rPr>
      <t>Cyber Insurance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(optional but smart)</t>
    </r>
  </si>
  <si>
    <t>$750–$1,500/year</t>
  </si>
  <si>
    <t>$60–$125/month</t>
  </si>
  <si>
    <t>Covers hacking, payment system breaches, customer info leaks (good for online sales)</t>
  </si>
  <si>
    <t>Subtotal Estimate</t>
  </si>
  <si>
    <t>Round to</t>
  </si>
  <si>
    <t>Utilization and Salaries</t>
  </si>
  <si>
    <t>October</t>
  </si>
  <si>
    <t>November</t>
  </si>
  <si>
    <t>December</t>
  </si>
  <si>
    <t>Details</t>
  </si>
  <si>
    <t>YR 1</t>
  </si>
  <si>
    <t>2017 Total</t>
  </si>
  <si>
    <t># employees</t>
  </si>
  <si>
    <t>Name</t>
  </si>
  <si>
    <t>Base</t>
  </si>
  <si>
    <t>Start Month</t>
  </si>
  <si>
    <t>Scott Terrell</t>
  </si>
  <si>
    <t>CEO </t>
  </si>
  <si>
    <t>Month 13</t>
  </si>
  <si>
    <t>Chad Myers</t>
  </si>
  <si>
    <t xml:space="preserve">CTO </t>
  </si>
  <si>
    <t>Chan Walker</t>
  </si>
  <si>
    <t xml:space="preserve">COO </t>
  </si>
  <si>
    <t>Melissa Youngblood</t>
  </si>
  <si>
    <t>CRO</t>
  </si>
  <si>
    <t>Jeremy Allen</t>
  </si>
  <si>
    <t>CCO</t>
  </si>
  <si>
    <t>Total Employee Compensation</t>
  </si>
  <si>
    <t>Breakeven</t>
  </si>
  <si>
    <t>by month</t>
  </si>
  <si>
    <t>revenue</t>
  </si>
  <si>
    <t>expenses</t>
  </si>
  <si>
    <t>breakeven</t>
  </si>
  <si>
    <t>cash flow</t>
  </si>
  <si>
    <t>Cash On Hand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</si>
  <si>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</si>
  <si>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</si>
  <si>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</si>
  <si>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</si>
  <si>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</si>
  <si>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</si>
  <si>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</si>
  <si>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</si>
  <si>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</si>
  <si>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</si>
  <si>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</si>
  <si>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</si>
  <si>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</si>
  <si>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</si>
  <si>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</si>
  <si>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</si>
  <si>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</si>
  <si>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</si>
  <si>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</si>
  <si>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</si>
  <si>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</si>
  <si>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</si>
  <si>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</si>
  <si>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Month 37</t>
  </si>
  <si>
    <t>Month 38</t>
  </si>
  <si>
    <t>Month 39</t>
  </si>
  <si>
    <t>Month 40</t>
  </si>
  <si>
    <t>Month 41</t>
  </si>
  <si>
    <t>Month 42</t>
  </si>
  <si>
    <t>Month 43</t>
  </si>
  <si>
    <t>Month 44</t>
  </si>
  <si>
    <t>Month 45</t>
  </si>
  <si>
    <t>Month 46</t>
  </si>
  <si>
    <t>Month 47</t>
  </si>
  <si>
    <t>Month 48</t>
  </si>
  <si>
    <t>Month 49</t>
  </si>
  <si>
    <t>Month 50</t>
  </si>
  <si>
    <t>Month 51</t>
  </si>
  <si>
    <t>Month 52</t>
  </si>
  <si>
    <t>Month 53</t>
  </si>
  <si>
    <t>Month 54</t>
  </si>
  <si>
    <t>Month 55</t>
  </si>
  <si>
    <t>Month 56</t>
  </si>
  <si>
    <t>Month 57</t>
  </si>
  <si>
    <t>Month 58</t>
  </si>
  <si>
    <t>Month 59</t>
  </si>
  <si>
    <t>Month 60</t>
  </si>
  <si>
    <t>5 Year TOTALS</t>
  </si>
  <si>
    <t>Business Card Revenue</t>
  </si>
  <si>
    <t>New Subscriptions</t>
  </si>
  <si>
    <t>Customers - BOM</t>
  </si>
  <si>
    <t>YRs 1-2</t>
  </si>
  <si>
    <t>YRS 3-5</t>
  </si>
  <si>
    <t>New Customers</t>
  </si>
  <si>
    <t>Customer Attrition</t>
  </si>
  <si>
    <t>Customer - EOM</t>
  </si>
  <si>
    <t>Employees per Customer</t>
  </si>
  <si>
    <t>Total Biz Card Licenses - EOM</t>
  </si>
  <si>
    <t>Biz Card License Fees</t>
  </si>
  <si>
    <t>Biz Card Revenue</t>
  </si>
  <si>
    <t>Total Biz Card Revenue</t>
  </si>
  <si>
    <t>Tool - Card Revenue</t>
  </si>
  <si>
    <t>Assumptions</t>
  </si>
  <si>
    <t>Total Fans</t>
  </si>
  <si>
    <t>Active Fans</t>
  </si>
  <si>
    <t>Parallel Purchases</t>
  </si>
  <si>
    <t>Purchasing Fans</t>
  </si>
  <si>
    <t>Time-Released Chase Box Drops</t>
  </si>
  <si>
    <t>Total Purchasing Fans</t>
  </si>
  <si>
    <t>Concert Only Cards</t>
  </si>
  <si>
    <t>Sponsorship</t>
  </si>
  <si>
    <t>Total US Destinations</t>
  </si>
  <si>
    <t>Average Concert Size</t>
  </si>
  <si>
    <t>Total Expected Revenue</t>
  </si>
  <si>
    <t>Concert Fans who Purchase</t>
  </si>
  <si>
    <t>Tool's Revenue Percentage</t>
  </si>
  <si>
    <t>Total Concert Purchases</t>
  </si>
  <si>
    <t>Tool's Expected Revenue</t>
  </si>
  <si>
    <t>Time -Released Chase Box Drops</t>
  </si>
  <si>
    <t>Card Price</t>
  </si>
  <si>
    <t># of Cards</t>
  </si>
  <si>
    <t>Total Value</t>
  </si>
  <si>
    <t>Gold Signature (1)</t>
  </si>
  <si>
    <t>Online Followers</t>
  </si>
  <si>
    <t>Destination Box Sets</t>
  </si>
  <si>
    <t>Sponsorship Fee</t>
  </si>
  <si>
    <t>Silver Signature (5)</t>
  </si>
  <si>
    <t>Conversion Rate</t>
  </si>
  <si>
    <t>Price per Box</t>
  </si>
  <si>
    <t>Sponsors</t>
  </si>
  <si>
    <t>Blue Signature (10)</t>
  </si>
  <si>
    <t>Total Sales/Drop</t>
  </si>
  <si>
    <t>Revenue per Destination</t>
  </si>
  <si>
    <t>Total Expected Sponsorship Revenue</t>
  </si>
  <si>
    <t>Green Signature (25)</t>
  </si>
  <si>
    <t>Destinations</t>
  </si>
  <si>
    <t>Red Signature (50)</t>
  </si>
  <si>
    <t>Pink Signature (150)</t>
  </si>
  <si>
    <t>Purple Signature (300)</t>
  </si>
  <si>
    <t>Gold Base (1)</t>
  </si>
  <si>
    <t>Silver Base (5)</t>
  </si>
  <si>
    <t>Blue Base (10)</t>
  </si>
  <si>
    <t>Green Base (25)</t>
  </si>
  <si>
    <t>Red Base (50)</t>
  </si>
  <si>
    <t>Pink Base (150)</t>
  </si>
  <si>
    <t>Purple Base (300)</t>
  </si>
  <si>
    <t>/Set</t>
  </si>
  <si>
    <t>Total Cards/Set</t>
  </si>
  <si>
    <t>Sets</t>
  </si>
  <si>
    <t>Card Revenue</t>
  </si>
  <si>
    <t>Cost of Sales</t>
  </si>
  <si>
    <t>CC processing fees (2.5%)</t>
  </si>
  <si>
    <t>Total Cost of Sales</t>
  </si>
  <si>
    <t>Net Profit</t>
  </si>
  <si>
    <t>Net Revenue Split</t>
  </si>
  <si>
    <t>Brand Star</t>
  </si>
  <si>
    <t>Agent/Brand</t>
  </si>
  <si>
    <t>Card Printing Volume</t>
  </si>
  <si>
    <t>Card Printing &amp; Materials Cost</t>
  </si>
  <si>
    <t>Cost per Unit</t>
  </si>
  <si>
    <t>Units</t>
  </si>
  <si>
    <t>Total Cost</t>
  </si>
  <si>
    <t>Base Card Printing</t>
  </si>
  <si>
    <t>Glossy UV coated (basic stock)</t>
  </si>
  <si>
    <t>Insert/Parallel Printing</t>
  </si>
  <si>
    <t>Foil, serial-numbered (nicer stock)</t>
  </si>
  <si>
    <t>Autograph/Relic Cards</t>
  </si>
  <si>
    <t>Mix of sticker autos, 10% on-card, relic pieces</t>
  </si>
  <si>
    <t>$2.00 (avg)</t>
  </si>
  <si>
    <t>Subtotal - Cards Only</t>
  </si>
  <si>
    <t>Packaging - Packs</t>
  </si>
  <si>
    <t>Foil packs, 8 cards per pack</t>
  </si>
  <si>
    <t>62,500 packs</t>
  </si>
  <si>
    <t>Packaging - Boxes (Hobby &amp; Retail)</t>
  </si>
  <si>
    <t>Color printed boxes (holds 6–24 packs)</t>
  </si>
  <si>
    <t>5,500 boxes</t>
  </si>
  <si>
    <t>Packaging - Cases</t>
  </si>
  <si>
    <t>12 boxes per case (brown shipping boxes)</t>
  </si>
  <si>
    <t>450 cases</t>
  </si>
  <si>
    <t>Subtotal - Packaging</t>
  </si>
  <si>
    <t>Collation &amp; Packout Labor</t>
  </si>
  <si>
    <t>Manual/automated card sorting and pack assembly</t>
  </si>
  <si>
    <t>Shipping to Distributors</t>
  </si>
  <si>
    <t>Freight (palletized, US-based shipping)</t>
  </si>
  <si>
    <t>Bulk</t>
  </si>
  <si>
    <t>Estimated</t>
  </si>
  <si>
    <t>Contingency/Waste Overrun</t>
  </si>
  <si>
    <t>Printing overs, QC errors (~2%)</t>
  </si>
  <si>
    <t>2% extra cards</t>
  </si>
  <si>
    <t>Subtotal - Logistics &amp; Overrun</t>
  </si>
  <si>
    <t>GRAND TOTAL</t>
  </si>
  <si>
    <t>~$96,850</t>
  </si>
  <si>
    <t>TOTALS</t>
  </si>
  <si>
    <t>Artist</t>
  </si>
  <si>
    <t>Year 1</t>
  </si>
  <si>
    <t>Year 2</t>
  </si>
  <si>
    <t>Year 3</t>
  </si>
  <si>
    <t>Year 4</t>
  </si>
  <si>
    <t>1 Star</t>
  </si>
  <si>
    <t>2 Star</t>
  </si>
  <si>
    <t>3 Star</t>
  </si>
  <si>
    <t>4 Star</t>
  </si>
  <si>
    <t>5 Star</t>
  </si>
  <si>
    <t>Brand Star - Athletes</t>
  </si>
  <si>
    <t>Brand Star - Actors</t>
  </si>
  <si>
    <t>Brand Star - Musicians</t>
  </si>
  <si>
    <t>Brand Star - Other</t>
  </si>
  <si>
    <t>Brand Stars</t>
  </si>
  <si>
    <t>Total Card Revenue</t>
  </si>
  <si>
    <t>2 Stars</t>
  </si>
  <si>
    <t>3 Stars</t>
  </si>
  <si>
    <t>4 Stars</t>
  </si>
  <si>
    <t>5 Stars</t>
  </si>
  <si>
    <t>Revenue Per Star Card</t>
  </si>
  <si>
    <t>Total Brand Stars</t>
  </si>
  <si>
    <t>Total Potential Card Revenue</t>
  </si>
  <si>
    <t>% of cards sold per category</t>
  </si>
  <si>
    <t>Total Expected Brand Star Card Revenue</t>
  </si>
  <si>
    <t>Athlete/Star</t>
  </si>
  <si>
    <t>Weight</t>
  </si>
  <si>
    <t>Industry Expert Rating</t>
  </si>
  <si>
    <t>Long Term Potential</t>
  </si>
  <si>
    <t>Total Multiplier</t>
  </si>
  <si>
    <t>Value</t>
  </si>
  <si>
    <t>Card Dynamic Pricing Model</t>
  </si>
  <si>
    <t>Gold Signature</t>
  </si>
  <si>
    <t>1 of</t>
  </si>
  <si>
    <t>Silver Signature</t>
  </si>
  <si>
    <t>Blue Signature</t>
  </si>
  <si>
    <t>Green Signature</t>
  </si>
  <si>
    <t>Red Signature</t>
  </si>
  <si>
    <t>Pink Signature</t>
  </si>
  <si>
    <t>Purple Signature</t>
  </si>
  <si>
    <t>Gold Base</t>
  </si>
  <si>
    <t>Silver Base</t>
  </si>
  <si>
    <t>Blue Base</t>
  </si>
  <si>
    <t>Green Base</t>
  </si>
  <si>
    <t>Red Base</t>
  </si>
  <si>
    <t>Pink Base</t>
  </si>
  <si>
    <t>Purple Base</t>
  </si>
  <si>
    <t>All Stars</t>
  </si>
  <si>
    <t>Avg Monthly Sale/All Stars</t>
  </si>
  <si>
    <t>Amount Paid to each student athlete</t>
  </si>
  <si>
    <t>Brand Stars Membership</t>
  </si>
  <si>
    <t>Avg Monthly Sale/Brand Star</t>
  </si>
  <si>
    <t>Artists</t>
  </si>
  <si>
    <t>Agent</t>
  </si>
  <si>
    <t>Boxes/Case</t>
  </si>
  <si>
    <t>Packs/Box</t>
  </si>
  <si>
    <t>Cards/Pack</t>
  </si>
  <si>
    <t>Wholesale Price/Box</t>
  </si>
  <si>
    <t>Retail Price/Box</t>
  </si>
  <si>
    <t>Wholesale Price/Case</t>
  </si>
  <si>
    <t>Release Information</t>
  </si>
  <si>
    <t>Release Pricing/Revenue</t>
  </si>
  <si>
    <t>Printing Costs/Card</t>
  </si>
  <si>
    <t>Printing Cost/Release</t>
  </si>
  <si>
    <t>Release Net Profit</t>
  </si>
  <si>
    <t>Release Total</t>
  </si>
  <si>
    <t>Flagship Release</t>
  </si>
  <si>
    <t>HOLO Release</t>
  </si>
  <si>
    <t>Jewel Release</t>
  </si>
  <si>
    <t>Avg</t>
  </si>
  <si>
    <t>First Release</t>
  </si>
  <si>
    <t>Second Release</t>
  </si>
  <si>
    <t>Third Release</t>
  </si>
  <si>
    <t>YEAR 1</t>
  </si>
  <si>
    <t>Card Cost - Flagship</t>
  </si>
  <si>
    <t>Card Cost - Holo</t>
  </si>
  <si>
    <t>Card Cost - Jewel</t>
  </si>
  <si>
    <t>Boxes</t>
  </si>
  <si>
    <t>Revenue Split</t>
  </si>
  <si>
    <t>Royalty %</t>
  </si>
  <si>
    <t>YEAR 1 (3 Releases; 5 Products)</t>
  </si>
  <si>
    <t>YEAR 2 (4 Releases; 7 Products)</t>
  </si>
  <si>
    <t>YEAR 3 (6 Releases; 9 Products)</t>
  </si>
  <si>
    <t>YEAR 4 (8 Releases; 12 Products)</t>
  </si>
  <si>
    <t>YEAR 5 (10 Releases; 15 Products)</t>
  </si>
  <si>
    <t>Customer Rollout</t>
  </si>
  <si>
    <t>Year</t>
  </si>
  <si>
    <t>YAAS Net Rev</t>
  </si>
  <si>
    <t>Yearly Revenue &amp; Costs</t>
  </si>
  <si>
    <t>4th Release</t>
  </si>
  <si>
    <t>Release 4</t>
  </si>
  <si>
    <t>Release 5</t>
  </si>
  <si>
    <t>Release 6</t>
  </si>
  <si>
    <t>Release 7</t>
  </si>
  <si>
    <t>Release 8</t>
  </si>
  <si>
    <t>Release 9</t>
  </si>
  <si>
    <t>Release 10</t>
  </si>
  <si>
    <t>Product 3</t>
  </si>
  <si>
    <t>Product 4</t>
  </si>
  <si>
    <t>Product 5</t>
  </si>
  <si>
    <t>Product 6</t>
  </si>
  <si>
    <t>Product 7</t>
  </si>
  <si>
    <t>Product 8</t>
  </si>
  <si>
    <t>Product 9</t>
  </si>
  <si>
    <t>Product 16</t>
  </si>
  <si>
    <t>Product 10</t>
  </si>
  <si>
    <t>Release 11</t>
  </si>
  <si>
    <t>Product 12</t>
  </si>
  <si>
    <t>Product 11</t>
  </si>
  <si>
    <t>Product 13</t>
  </si>
  <si>
    <t>Product 15</t>
  </si>
  <si>
    <t>Product 14</t>
  </si>
  <si>
    <t>Inside Card Rev Share</t>
  </si>
  <si>
    <t>Sponsorship Rev Share</t>
  </si>
  <si>
    <t>Services Rev Share</t>
  </si>
  <si>
    <t>YR 2</t>
  </si>
  <si>
    <t>YR 3</t>
  </si>
  <si>
    <t>Trey Bayne</t>
  </si>
  <si>
    <t>YR 4</t>
  </si>
  <si>
    <t>YR 5</t>
  </si>
  <si>
    <t>Comms/Bonus</t>
  </si>
  <si>
    <t>Cards &amp; Packaging - BKFC</t>
  </si>
  <si>
    <t>BKFC - Rev Share</t>
  </si>
  <si>
    <t>Officers &amp; Admin</t>
  </si>
  <si>
    <t>Matt Phillips</t>
  </si>
  <si>
    <t xml:space="preserve">CXO </t>
  </si>
  <si>
    <t xml:space="preserve">CMO </t>
  </si>
  <si>
    <t xml:space="preserve">CFO </t>
  </si>
  <si>
    <t>CPO</t>
  </si>
  <si>
    <t>VP of Licensing</t>
  </si>
  <si>
    <t>Finance</t>
  </si>
  <si>
    <t xml:space="preserve">Accounting </t>
  </si>
  <si>
    <t xml:space="preserve">HR </t>
  </si>
  <si>
    <t>Book Keeper</t>
  </si>
  <si>
    <t>Admin</t>
  </si>
  <si>
    <t>Sales Team</t>
  </si>
  <si>
    <t xml:space="preserve">Sales Associate </t>
  </si>
  <si>
    <t xml:space="preserve">Assistant </t>
  </si>
  <si>
    <t>Account Management / Customer Support</t>
  </si>
  <si>
    <t>Client Relationship Director</t>
  </si>
  <si>
    <t xml:space="preserve">Client Relationship Manager </t>
  </si>
  <si>
    <t>Customer Support</t>
  </si>
  <si>
    <t>Director of Account Management</t>
  </si>
  <si>
    <t xml:space="preserve">Account Manager </t>
  </si>
  <si>
    <t>Art Team</t>
  </si>
  <si>
    <t>VP of Artists</t>
  </si>
  <si>
    <t>Director of Onboarding</t>
  </si>
  <si>
    <t>Art Manager</t>
  </si>
  <si>
    <t>Product, Marketing</t>
  </si>
  <si>
    <t>VP of Communications</t>
  </si>
  <si>
    <t>VP of Strategy</t>
  </si>
  <si>
    <t>VP of Events</t>
  </si>
  <si>
    <t>Director of Brand Integration</t>
  </si>
  <si>
    <t xml:space="preserve">Director of Product </t>
  </si>
  <si>
    <t xml:space="preserve">Product Lead </t>
  </si>
  <si>
    <t xml:space="preserve">Director of Marketing </t>
  </si>
  <si>
    <t>Director of Merchandising</t>
  </si>
  <si>
    <t>Director of Search</t>
  </si>
  <si>
    <t>Director of Social</t>
  </si>
  <si>
    <t>Brand Strategist</t>
  </si>
  <si>
    <t>Social Mangager</t>
  </si>
  <si>
    <t>Editor</t>
  </si>
  <si>
    <t>Copy Writer</t>
  </si>
  <si>
    <t>Event Manager</t>
  </si>
  <si>
    <t>Event Coordinator</t>
  </si>
  <si>
    <t xml:space="preserve">Project Manager </t>
  </si>
  <si>
    <t xml:space="preserve">TBD </t>
  </si>
  <si>
    <t xml:space="preserve">PR Strategist </t>
  </si>
  <si>
    <t>Design</t>
  </si>
  <si>
    <t xml:space="preserve">Creative Director </t>
  </si>
  <si>
    <t xml:space="preserve">Sr. Designer </t>
  </si>
  <si>
    <t xml:space="preserve">Designer </t>
  </si>
  <si>
    <t xml:space="preserve">Jr. Designer </t>
  </si>
  <si>
    <t>Sr. Production Artists</t>
  </si>
  <si>
    <t>Production Artists</t>
  </si>
  <si>
    <t>Jr. Production Artists</t>
  </si>
  <si>
    <t>UX/UI Team</t>
  </si>
  <si>
    <t xml:space="preserve">Director of UX/UI </t>
  </si>
  <si>
    <t xml:space="preserve">Sr. UX/UI </t>
  </si>
  <si>
    <t xml:space="preserve">UX/UI Designer </t>
  </si>
  <si>
    <t>Dev Team</t>
  </si>
  <si>
    <t xml:space="preserve">Dev (Tech Architect) </t>
  </si>
  <si>
    <t xml:space="preserve">Sr. Full-Stack Developer </t>
  </si>
  <si>
    <t xml:space="preserve">Sr. Developer front end </t>
  </si>
  <si>
    <t xml:space="preserve">Developer front end </t>
  </si>
  <si>
    <t xml:space="preserve">Database Engineer </t>
  </si>
  <si>
    <t xml:space="preserve">Data Scientist </t>
  </si>
  <si>
    <t xml:space="preserve">Dev Manager </t>
  </si>
  <si>
    <t>QA</t>
  </si>
  <si>
    <t>Fraud &amp; Data Security</t>
  </si>
  <si>
    <t>VP - Data Security</t>
  </si>
  <si>
    <t>Director - Data Security</t>
  </si>
  <si>
    <t>Manager - Data Security #1</t>
  </si>
  <si>
    <t>Expenses</t>
  </si>
  <si>
    <t>Month1</t>
  </si>
  <si>
    <t>Month2</t>
  </si>
  <si>
    <t>Month3</t>
  </si>
  <si>
    <t>Month4</t>
  </si>
  <si>
    <t>Month5</t>
  </si>
  <si>
    <t>Month6</t>
  </si>
  <si>
    <t>Month7</t>
  </si>
  <si>
    <t>Month8</t>
  </si>
  <si>
    <t>Month9</t>
  </si>
  <si>
    <t>Month10</t>
  </si>
  <si>
    <t>Month11</t>
  </si>
  <si>
    <t>Month12</t>
  </si>
  <si>
    <t>Month13</t>
  </si>
  <si>
    <t>Month14</t>
  </si>
  <si>
    <t>Month15</t>
  </si>
  <si>
    <t>Month16</t>
  </si>
  <si>
    <t>Month17</t>
  </si>
  <si>
    <t>Month18</t>
  </si>
  <si>
    <t>Month19</t>
  </si>
  <si>
    <t>Month20</t>
  </si>
  <si>
    <t>Month21</t>
  </si>
  <si>
    <t>Month22</t>
  </si>
  <si>
    <t>Month23</t>
  </si>
  <si>
    <t>Month24</t>
  </si>
  <si>
    <t>Month25</t>
  </si>
  <si>
    <t>Month26</t>
  </si>
  <si>
    <t>Month27</t>
  </si>
  <si>
    <t>Month28</t>
  </si>
  <si>
    <t>Month29</t>
  </si>
  <si>
    <t>Month30</t>
  </si>
  <si>
    <t>Month31</t>
  </si>
  <si>
    <t>Month32</t>
  </si>
  <si>
    <t>Month33</t>
  </si>
  <si>
    <t>Month34</t>
  </si>
  <si>
    <t>Month35</t>
  </si>
  <si>
    <t>Month36</t>
  </si>
  <si>
    <t>Month37</t>
  </si>
  <si>
    <t>Month38</t>
  </si>
  <si>
    <t>Month39</t>
  </si>
  <si>
    <t>Month40</t>
  </si>
  <si>
    <t>Month41</t>
  </si>
  <si>
    <t>Month42</t>
  </si>
  <si>
    <t>Month43</t>
  </si>
  <si>
    <t>Month44</t>
  </si>
  <si>
    <t>Month45</t>
  </si>
  <si>
    <t>Month46</t>
  </si>
  <si>
    <t>Month47</t>
  </si>
  <si>
    <t>Month48</t>
  </si>
  <si>
    <t>Month49</t>
  </si>
  <si>
    <t>Month50</t>
  </si>
  <si>
    <t>Month51</t>
  </si>
  <si>
    <t>Month52</t>
  </si>
  <si>
    <t>Month53</t>
  </si>
  <si>
    <t>Month54</t>
  </si>
  <si>
    <t>Month55</t>
  </si>
  <si>
    <t>Month56</t>
  </si>
  <si>
    <t>Month57</t>
  </si>
  <si>
    <t>Month58</t>
  </si>
  <si>
    <t>Month59</t>
  </si>
  <si>
    <t>Month60</t>
  </si>
  <si>
    <t>Net</t>
  </si>
  <si>
    <t>Debt &amp; Interest Payments</t>
  </si>
  <si>
    <t>Angel Investor Debt Service</t>
  </si>
  <si>
    <t>Freight &amp; Fulfillment - BKFC</t>
  </si>
  <si>
    <t>Fiscal 5 Year</t>
  </si>
  <si>
    <t>TOTAL - 5 Years</t>
  </si>
  <si>
    <t>Total Debt &amp; Interest Payements</t>
  </si>
  <si>
    <t>Director of Communications</t>
  </si>
  <si>
    <t>Ken May</t>
  </si>
  <si>
    <t>President &amp; Founder</t>
  </si>
  <si>
    <t>Card Production Debt Service</t>
  </si>
  <si>
    <t>Discount</t>
  </si>
  <si>
    <t>Skybound - Net Revenue</t>
  </si>
  <si>
    <t>Wholesale Revenue</t>
  </si>
  <si>
    <t>Printing &amp; Packaging Costs</t>
  </si>
  <si>
    <t>Net Wholesale Revenue</t>
  </si>
  <si>
    <t>Revenue Share</t>
  </si>
  <si>
    <t>Cards</t>
  </si>
  <si>
    <t>Wholesale vs. MSRP</t>
  </si>
  <si>
    <t>Skybound</t>
  </si>
  <si>
    <t>Stars/Sales</t>
  </si>
  <si>
    <t>Freight/Fulfillment</t>
  </si>
  <si>
    <t>One-Offs</t>
  </si>
  <si>
    <t>Card Revenue - Invincibles (Wholesale)</t>
  </si>
  <si>
    <t>Cards &amp; Packaging - Invincibles</t>
  </si>
  <si>
    <t>Freight &amp; Fulfillment - Invincibles</t>
  </si>
  <si>
    <t>Invincibles - Rev Share</t>
  </si>
  <si>
    <t>Advance Pmnt</t>
  </si>
  <si>
    <t>Ra Kazidi</t>
  </si>
  <si>
    <t>Sr. UX/UI (Outsourced)</t>
  </si>
  <si>
    <t xml:space="preserve">MSRP RETAIL </t>
  </si>
  <si>
    <t>Invincible Season 1</t>
  </si>
  <si>
    <t>200 card base set</t>
  </si>
  <si>
    <t>Invincible Season 2</t>
  </si>
  <si>
    <t>Invincible Season 3</t>
  </si>
  <si>
    <t>Invincible Season 4</t>
  </si>
  <si>
    <t>Invincible Season 5</t>
  </si>
  <si>
    <t>Invincible Season 6</t>
  </si>
  <si>
    <t>Invincible Season 7</t>
  </si>
  <si>
    <t>box $</t>
  </si>
  <si>
    <t>case $</t>
  </si>
  <si>
    <t>HOBBY BOX</t>
  </si>
  <si>
    <t>Core collector</t>
  </si>
  <si>
    <t>Total number of cases</t>
  </si>
  <si>
    <t>Total number of boxes</t>
  </si>
  <si>
    <t>gross</t>
  </si>
  <si>
    <t>Total Packs</t>
  </si>
  <si>
    <t>Total cards</t>
  </si>
  <si>
    <t>$ per card</t>
  </si>
  <si>
    <t>Dist'r Pricing</t>
  </si>
  <si>
    <t>Per Box</t>
  </si>
  <si>
    <t>Per Case</t>
  </si>
  <si>
    <t>TOTAL</t>
  </si>
  <si>
    <t>BLASTER BOX</t>
  </si>
  <si>
    <t>Casual collector</t>
  </si>
  <si>
    <t>HANGER BOX</t>
  </si>
  <si>
    <t>Mass entry, impulse</t>
  </si>
  <si>
    <t>SET BOX  ### / 250 - Online Drop</t>
  </si>
  <si>
    <t>Premium / archive</t>
  </si>
  <si>
    <t>cards per Box</t>
  </si>
  <si>
    <t>Contract Signed</t>
  </si>
  <si>
    <t>Pipeline (Conservative Estimate)</t>
  </si>
  <si>
    <t>Card Revenue - Pipeline</t>
  </si>
  <si>
    <t xml:space="preserve"> Card Revenue - BKFC</t>
  </si>
  <si>
    <t>Non-Card Revenue</t>
  </si>
  <si>
    <t>Cards &amp; Packaging - Pipeline</t>
  </si>
  <si>
    <t>Freight &amp; Fulfillment - Pipeline</t>
  </si>
  <si>
    <t>Pipeline Rev Share</t>
  </si>
  <si>
    <t>Contractors/Outsourced Services</t>
  </si>
  <si>
    <t># Contractors</t>
  </si>
  <si>
    <t>Jr. Designer</t>
  </si>
  <si>
    <t>Sr. Developer front end</t>
  </si>
  <si>
    <t>Sr. Designer</t>
  </si>
  <si>
    <t>Sr. UX/UI</t>
  </si>
  <si>
    <t>Property</t>
  </si>
  <si>
    <t>Stage</t>
  </si>
  <si>
    <t>Comments</t>
  </si>
  <si>
    <t>Hot</t>
  </si>
  <si>
    <t>Ready to sign when contract is up in June 2026</t>
  </si>
  <si>
    <t>X-GAMES</t>
  </si>
  <si>
    <t>Warm</t>
  </si>
  <si>
    <t>Need to make a follow up deck</t>
  </si>
  <si>
    <t>$3M Annually</t>
  </si>
  <si>
    <t>DUDE PERFECT</t>
  </si>
  <si>
    <t>Waiting to hear next steps on making proposal</t>
  </si>
  <si>
    <t xml:space="preserve">$15M Annually </t>
  </si>
  <si>
    <t>MBS</t>
  </si>
  <si>
    <t>Meeting next week to talk about which properties they want to move forward on</t>
  </si>
  <si>
    <t>$10M Annually</t>
  </si>
  <si>
    <t>CRUNCHYROLL</t>
  </si>
  <si>
    <t>Waiting on list of properties to pitch</t>
  </si>
  <si>
    <t>$1M One Time Release</t>
  </si>
  <si>
    <t>AMAZON</t>
  </si>
  <si>
    <t>Need to wait on which properties they're willing to let us propose on</t>
  </si>
  <si>
    <t>MACCABI USA</t>
  </si>
  <si>
    <t xml:space="preserve">Getting ready to prepare proposal </t>
  </si>
  <si>
    <t>$500K Annually</t>
  </si>
  <si>
    <t>HELLRAISER</t>
  </si>
  <si>
    <t>About to pitch</t>
  </si>
  <si>
    <t>$500K One Time Release</t>
  </si>
  <si>
    <t>WALKING DEAD</t>
  </si>
  <si>
    <t>A CLOCKWORK ORANGE</t>
  </si>
  <si>
    <t>FULL METAL JACKET</t>
  </si>
  <si>
    <t>2001 A SPACE ODYSSEY</t>
  </si>
  <si>
    <t>THE SHINNING</t>
  </si>
  <si>
    <t>INVINCIBLE</t>
  </si>
  <si>
    <t>CYBER AGENT</t>
  </si>
  <si>
    <t>STEVEN AND PARKER</t>
  </si>
  <si>
    <t>Luke Warm</t>
  </si>
  <si>
    <t>Pitched but waiting back for next steps</t>
  </si>
  <si>
    <t>SNOW</t>
  </si>
  <si>
    <t>Loved it, but waiting for next steps</t>
  </si>
  <si>
    <t>DR. SUESS</t>
  </si>
  <si>
    <t>Meeting set for January 12th, 2026</t>
  </si>
  <si>
    <t xml:space="preserve">$1M Annually </t>
  </si>
  <si>
    <t>GLOBAL COMIX</t>
  </si>
  <si>
    <t>Interested in doing this for Comic Books</t>
  </si>
  <si>
    <t>ATARI</t>
  </si>
  <si>
    <t xml:space="preserve">Warm </t>
  </si>
  <si>
    <t>Getting ready to prepare pitch</t>
  </si>
  <si>
    <t>PPA</t>
  </si>
  <si>
    <t>Waitng on us to print some example cards</t>
  </si>
  <si>
    <t>BAD ROBOTS</t>
  </si>
  <si>
    <t>New Intro</t>
  </si>
  <si>
    <t>This is a new lead but getting intros next week</t>
  </si>
  <si>
    <t>APPLE</t>
  </si>
  <si>
    <t>Pitched and they're waiting to hear back</t>
  </si>
  <si>
    <t>TUFF NUFF</t>
  </si>
  <si>
    <t>$1M Annually</t>
  </si>
  <si>
    <t>PRO VOLLEYBALL FEDERATION</t>
  </si>
  <si>
    <t>We're getting introductions with Pro Volleyball Federation</t>
  </si>
  <si>
    <t>SESAME STREET</t>
  </si>
  <si>
    <t>We're just getting introductions</t>
  </si>
  <si>
    <t>HELLO KITTY</t>
  </si>
  <si>
    <t xml:space="preserve">Made a pitch. Very interested, looking forward to hearing back about getting started. </t>
  </si>
  <si>
    <t>$2M Annually</t>
  </si>
  <si>
    <t>Extreme</t>
  </si>
  <si>
    <t>HOT</t>
  </si>
  <si>
    <t>MEGA BOX</t>
  </si>
  <si>
    <t>Collector Retail Sweet Spot</t>
  </si>
  <si>
    <t>Pipeline Estimated Customer Rollout</t>
  </si>
  <si>
    <t>Pitched 12/16/2025; follow up 1/28/2026</t>
  </si>
  <si>
    <t>$15M YR1 - $143M Lifetime</t>
  </si>
  <si>
    <t>Pitched 1/27/2026; going into contract negotiations</t>
  </si>
  <si>
    <t>Contract Pending</t>
  </si>
  <si>
    <t>$36M Lifetime</t>
  </si>
  <si>
    <t>Wholesale Revenue - Hobby</t>
  </si>
  <si>
    <t>Wholesale Revenue - Retail</t>
  </si>
  <si>
    <t>Allowance (unsold/damaged)</t>
  </si>
  <si>
    <t>Card Cost (Blended Rate)</t>
  </si>
  <si>
    <t>Invincibles - Rev Share (Net Revenue)</t>
  </si>
  <si>
    <t>Invincibles - Rev Share (Gross Revenue)</t>
  </si>
  <si>
    <t>Difference</t>
  </si>
  <si>
    <t>150 card base set</t>
  </si>
  <si>
    <t>100 card base set</t>
  </si>
  <si>
    <t>Damage/Returns</t>
  </si>
  <si>
    <t>Card Revenue (Wholesale)</t>
  </si>
  <si>
    <t>Licensor</t>
  </si>
  <si>
    <t>Customer &amp; Release Details</t>
  </si>
  <si>
    <t>Release Name</t>
  </si>
  <si>
    <t>2026 BKFC - ROOT</t>
  </si>
  <si>
    <t>Expected Date</t>
  </si>
  <si>
    <t>Product Details</t>
  </si>
  <si>
    <t>Type</t>
  </si>
  <si>
    <t>Y/N</t>
  </si>
  <si>
    <t>MSRP/Box</t>
  </si>
  <si>
    <t># of Cases</t>
  </si>
  <si>
    <t>Yes</t>
  </si>
  <si>
    <t>Mega Box</t>
  </si>
  <si>
    <t>No</t>
  </si>
  <si>
    <t>Blaster Box</t>
  </si>
  <si>
    <t>Hanger Box</t>
  </si>
  <si>
    <t>Parallel Factory Sets</t>
  </si>
  <si>
    <t>2026 BKFC - Forge</t>
  </si>
  <si>
    <t>2026 BKFC - Ascend</t>
  </si>
  <si>
    <t>no</t>
  </si>
  <si>
    <t>Set Box</t>
  </si>
  <si>
    <t>2027 BKFC - ROOT</t>
  </si>
  <si>
    <t>2027 BKFC - Forge</t>
  </si>
  <si>
    <t>2027 BKFC - Ascend</t>
  </si>
  <si>
    <t>Brody Wilson</t>
  </si>
  <si>
    <t>Nick Floyd</t>
  </si>
  <si>
    <t xml:space="preserve">Sr. Mobile Developer </t>
  </si>
  <si>
    <t>Lloyd Mintz</t>
  </si>
  <si>
    <t>Total Contractor Compensation</t>
  </si>
  <si>
    <t>CPO (Part Time)</t>
  </si>
  <si>
    <t>Beth Wilson</t>
  </si>
  <si>
    <t>Jessica Shrugg</t>
  </si>
  <si>
    <t>Mikita</t>
  </si>
  <si>
    <t>Ariel</t>
  </si>
  <si>
    <t>Proxify</t>
  </si>
  <si>
    <t>Alana Landan</t>
  </si>
  <si>
    <t>Wade MyCela</t>
  </si>
  <si>
    <t>Project Manager (Part Time)</t>
  </si>
  <si>
    <t>Product Manager (Part Time)</t>
  </si>
  <si>
    <t>Ziggy</t>
  </si>
  <si>
    <t>Model Assumptions</t>
  </si>
  <si>
    <t>Skybound (Inincible)</t>
  </si>
  <si>
    <t>Card Cost - Root</t>
  </si>
  <si>
    <t>Card Cost - Forge</t>
  </si>
  <si>
    <t>Card Cost - Ascend</t>
  </si>
  <si>
    <t>Checklist Tool Development</t>
  </si>
  <si>
    <t>Colynne</t>
  </si>
  <si>
    <t>Root - Printer Deposit</t>
  </si>
  <si>
    <t>Proposal Accepted</t>
  </si>
  <si>
    <t>Cards &amp; Packaging - CyberAgent</t>
  </si>
  <si>
    <t>Cards &amp; Packaging - MBS</t>
  </si>
  <si>
    <t>Freight &amp; Fulfillment - CyberAgent</t>
  </si>
  <si>
    <t>Freight &amp; Fulfillment - MBS</t>
  </si>
  <si>
    <t>CyberAgent - Rev Share</t>
  </si>
  <si>
    <t>MBS - Rev Share</t>
  </si>
  <si>
    <t>Advance Range</t>
  </si>
  <si>
    <t>Minimum Guarantee</t>
  </si>
  <si>
    <t>Forecast</t>
  </si>
  <si>
    <t>Status</t>
  </si>
  <si>
    <t>Low/Proposed</t>
  </si>
  <si>
    <t>High/Proposed</t>
  </si>
  <si>
    <t>Low</t>
  </si>
  <si>
    <t>Term</t>
  </si>
  <si>
    <t>First Year</t>
  </si>
  <si>
    <t>Contracted</t>
  </si>
  <si>
    <t>CyberAgent</t>
  </si>
  <si>
    <t>Kagurabachi</t>
  </si>
  <si>
    <t>Proposal Submitted</t>
  </si>
  <si>
    <t>-</t>
  </si>
  <si>
    <t>Dandadan</t>
  </si>
  <si>
    <t>Joester Loria Group</t>
  </si>
  <si>
    <t>Dog Man/Captain Underpants</t>
  </si>
  <si>
    <t>Warner Brothers</t>
  </si>
  <si>
    <t>Looney Tunes</t>
  </si>
  <si>
    <t>Waiting for follow up from WB</t>
  </si>
  <si>
    <t>Hanna-Barbera</t>
  </si>
  <si>
    <t>DC Comics</t>
  </si>
  <si>
    <t>Rick &amp; Morty</t>
  </si>
  <si>
    <t>Sanrio</t>
  </si>
  <si>
    <t>Hello Kitty </t>
  </si>
  <si>
    <t>Proposal Requested</t>
  </si>
  <si>
    <t>Cloudco</t>
  </si>
  <si>
    <t>Care Bears</t>
  </si>
  <si>
    <t>Sesame Street</t>
  </si>
  <si>
    <t>Follow Up Discussions Needed </t>
  </si>
  <si>
    <t>Tatsunoko</t>
  </si>
  <si>
    <t>Speed Racer, Pizza Cats, Gatchaman</t>
  </si>
  <si>
    <t>Requested Proposal</t>
  </si>
  <si>
    <t>Jazwares</t>
  </si>
  <si>
    <t>Squishmallows</t>
  </si>
  <si>
    <t>NBCUniversal</t>
  </si>
  <si>
    <t>Shrek, Hellbreak</t>
  </si>
  <si>
    <t>Crunchroll</t>
  </si>
  <si>
    <t>Dragon Ball, One Piee, Jujutsu Kaisen, Solo Leveling</t>
  </si>
  <si>
    <t>Discussion Needed</t>
  </si>
  <si>
    <t>Striker Entertainment</t>
  </si>
  <si>
    <t>Ted: The Animated Series</t>
  </si>
  <si>
    <t>General Merchandisign Services</t>
  </si>
  <si>
    <t>Iron Maiden, Ozzy Osbourne, Backstreet Boys, Liquid Death</t>
  </si>
  <si>
    <t>PBS KIDS</t>
  </si>
  <si>
    <t>Arthur</t>
  </si>
  <si>
    <t>Hololive</t>
  </si>
  <si>
    <t>World's Smallest (Toy Co.)</t>
  </si>
  <si>
    <t>World's Smallest</t>
  </si>
  <si>
    <t>Mob Entertainment</t>
  </si>
  <si>
    <t>Poppy Playtime</t>
  </si>
  <si>
    <t>License-To-Play/Remarkable Brands Agency</t>
  </si>
  <si>
    <t>Deddy Bears</t>
  </si>
  <si>
    <t>VIZ Media </t>
  </si>
  <si>
    <t>Naruto, One Punch Man, Sailor Moon</t>
  </si>
  <si>
    <t>Sega </t>
  </si>
  <si>
    <t>Sega</t>
  </si>
  <si>
    <t>More Discussion Needed </t>
  </si>
  <si>
    <t>Coca-Cola</t>
  </si>
  <si>
    <t>More Discussoin Needed</t>
  </si>
  <si>
    <t>SONY/Peanuts</t>
  </si>
  <si>
    <t>Peanuts</t>
  </si>
  <si>
    <t>Need to determine if they will do a portfolio deal for any or all of the properties we are interested in. Early estimate is this would be a deal requiring anywhere from a $250,000-$500,000 advance, depending on which IP is included, and a $1,000,000-$2,500,000 guarantee. </t>
  </si>
  <si>
    <t>2-3</t>
  </si>
  <si>
    <t>3-5</t>
  </si>
  <si>
    <t>Series 1</t>
  </si>
  <si>
    <t>Single Pack</t>
  </si>
  <si>
    <t>Series 2</t>
  </si>
  <si>
    <t>Series 3</t>
  </si>
  <si>
    <t>Series 4</t>
  </si>
  <si>
    <t>Series 5</t>
  </si>
  <si>
    <t>Series 6</t>
  </si>
  <si>
    <t>Card Revenue - DM/CU</t>
  </si>
  <si>
    <t>Cards &amp; Packaging - DM/CU</t>
  </si>
  <si>
    <t>Freight &amp; Fulfillment - DM/CU</t>
  </si>
  <si>
    <t>DM/CU - Rev Share</t>
  </si>
  <si>
    <t>BKFC - Card Rev Share</t>
  </si>
  <si>
    <t xml:space="preserve"> Card Revenue - BKFC (Wholesale)</t>
  </si>
  <si>
    <t>5Year Total Total</t>
  </si>
  <si>
    <t>BKFC 5-Year Total</t>
  </si>
  <si>
    <t>2028 BKFC - ROOT</t>
  </si>
  <si>
    <t>2028 BKFC - Forge</t>
  </si>
  <si>
    <t>2028 BKFC - Ascend</t>
  </si>
  <si>
    <t>Release 12</t>
  </si>
  <si>
    <t>2029 BKFC - ROOT</t>
  </si>
  <si>
    <t>2029 BKFC - Forge</t>
  </si>
  <si>
    <t>2029 BKFC - Ascend</t>
  </si>
  <si>
    <t>Release 13</t>
  </si>
  <si>
    <t>Release 14</t>
  </si>
  <si>
    <t>Release 15</t>
  </si>
  <si>
    <t>2030 BKFC - ROOT</t>
  </si>
  <si>
    <t>2030 BKFC - Forge</t>
  </si>
  <si>
    <t>2030 BKFC - Ascend</t>
  </si>
  <si>
    <t>Investor Funds</t>
  </si>
  <si>
    <t>Pipeline Rev Share/Prepaid License Fees</t>
  </si>
  <si>
    <t>Assumes Funds come in Oct/Nov</t>
  </si>
  <si>
    <t>Ted</t>
  </si>
  <si>
    <t>2027 Ted - ROOT</t>
  </si>
  <si>
    <t>N/A</t>
  </si>
  <si>
    <t>2028 Ted - Root</t>
  </si>
  <si>
    <t>2029 Ted - ROOT</t>
  </si>
  <si>
    <t>2030 Ted - ROOT</t>
  </si>
  <si>
    <t>Card Revenue - Ted Animated Series</t>
  </si>
  <si>
    <t>Card Revenue - CareBears</t>
  </si>
  <si>
    <t>2027 CareBears - ROOT</t>
  </si>
  <si>
    <t>2027 CareBears - FORGE</t>
  </si>
  <si>
    <t>2028 CareBears - ROOT</t>
  </si>
  <si>
    <t>2029 CareBears - ROOT</t>
  </si>
  <si>
    <t>Cards &amp; Packaging - Ted</t>
  </si>
  <si>
    <t>Cards &amp; Packaging - CareBears</t>
  </si>
  <si>
    <t>Freight &amp; Fulfillment - Ted</t>
  </si>
  <si>
    <t>Freight &amp; Fulfillment - CareBears</t>
  </si>
  <si>
    <t>Ted - Rev Share</t>
  </si>
  <si>
    <t>CareBears - Rev Share</t>
  </si>
  <si>
    <t>Advance</t>
  </si>
  <si>
    <t>2027 Tatsunoko - ROOT</t>
  </si>
  <si>
    <t>2029 Tatsunoko - ROOT</t>
  </si>
  <si>
    <t>Blumhouse</t>
  </si>
  <si>
    <t>2027 Blumhouse - ROOT</t>
  </si>
  <si>
    <t>2028 Blumhouse - Root</t>
  </si>
  <si>
    <t>2029 Blumhouse - ROOT</t>
  </si>
  <si>
    <t>Card Revenue - Blumhouse</t>
  </si>
  <si>
    <t>Cards &amp; Packaging - Blumhouse</t>
  </si>
  <si>
    <t>Freight &amp; Fulfillment - Blumhouse</t>
  </si>
  <si>
    <t>Blumhouse - Rev Share</t>
  </si>
  <si>
    <t>Card Revenue - Tatsunoko</t>
  </si>
  <si>
    <t>Cards &amp; Packaging - Tatsunoko</t>
  </si>
  <si>
    <t>Freight &amp; Fulfillment - Tatsunoko</t>
  </si>
  <si>
    <t>Tatsunoko - Rev Share</t>
  </si>
  <si>
    <t>2028 Tatsunoko - Root</t>
  </si>
  <si>
    <t>2030 Tatsunoko - ROOT</t>
  </si>
  <si>
    <t>ROOT — 2027 season</t>
  </si>
  <si>
    <t>2027</t>
  </si>
  <si>
    <t>ROOT — 2028 season</t>
  </si>
  <si>
    <t>2028</t>
  </si>
  <si>
    <t>ROOT — 2029 season</t>
  </si>
  <si>
    <t>2029</t>
  </si>
  <si>
    <t>ROOT — 2030 season</t>
  </si>
  <si>
    <t>FORGE - 2027 Season</t>
  </si>
  <si>
    <t>ASCEND - 2030 Season</t>
  </si>
  <si>
    <t>FORGE - 2030 Season</t>
  </si>
  <si>
    <t>FORGE - 2029 Season</t>
  </si>
  <si>
    <t>FORGE - 2028 Season</t>
  </si>
  <si>
    <t>Card Revenue - PPA/MLP</t>
  </si>
  <si>
    <t>Cards &amp; Packaging - PPA/MLP</t>
  </si>
  <si>
    <t>Freight &amp; Fulfillment - PPA/MLP</t>
  </si>
  <si>
    <t>PPA/MLP - Rev Share</t>
  </si>
  <si>
    <t>Pickleball Association (PPA/MLP)</t>
  </si>
  <si>
    <t>2030 Blumhouse - ROOT</t>
  </si>
  <si>
    <t>FREQUENCY — Oh YAAS Music Vertical (2027-2029)</t>
  </si>
  <si>
    <t>Financial Model v1.5 — Planning Case · 2027-2029</t>
  </si>
  <si>
    <t>Blue cells on yellow are this Planning Case's inputs — Jeremy's own numbers, chosen for this scenario, not locked product facts — change these and everything else calculates. Blue cells on orange are working placeholders, not yet validated — treat with more caution than the yellow cells.</t>
  </si>
  <si>
    <t>PROGRAM NOTE — why this model doesn't look like Care Bears / Ted / Tatsunoko / PPA-MLP: FREQUENCY is direct-to-consumer. Gross DTC Product Sales are modeled at working list price, with no distributor/wholesale realization haircut. Unlike those third-party IP programs, FREQUENCY doesn't use a single brand-level licensor economics structure (one royalty rate, one advance, one minimum guarantee) — but that's not a claim that individual artist agreements carry no royalties, guarantees, or advances; those may vary by artist/release and simply aren't modeled here (see ARTIST ECONOMICS note on the Financial Summary tab). There are no cases/boxes/packs — every release is a single direct-sale SKU (Spotlight, 5-Card Session, or 10-Card Session).</t>
  </si>
  <si>
    <t>SECTION 1 BELOW (RELEASE VOLUME / FORMAT MIX / PRICE / ARTIST-TIER DEMAND) drives the revenue outlook and is the firmer half of this model. SECTION 2 (DTC COST ASSUMPTIONS, further down) is a working cost estimate only — not yet validated — and should be read as illustrative, not with the same confidence as the revenue side.</t>
  </si>
  <si>
    <t>SECTION 1 — TOPLINE ASSUMPTIONS (drive the revenue outlook)</t>
  </si>
  <si>
    <t>RELEASE VOLUME (Jeremy's own planning numbers)</t>
  </si>
  <si>
    <t>Total releases — 2027</t>
  </si>
  <si>
    <t>Jeremy: "2027 - 30 artist." One release per signed artist modeled (no repeat Volumes).</t>
  </si>
  <si>
    <t>Total releases — 2028</t>
  </si>
  <si>
    <t>Jeremy: "2028 - 60 artist."</t>
  </si>
  <si>
    <t>Total releases — 2029</t>
  </si>
  <si>
    <t>Jeremy: "2029 - 90 artist."</t>
  </si>
  <si>
    <t>RELEASE-FORMAT MIX (same split all 3 years — Jeremy's own)</t>
  </si>
  <si>
    <t>Spotlight share</t>
  </si>
  <si>
    <t>Jeremy: "10 of each release size" (2027); "1/3 of each release size" (2028-29).</t>
  </si>
  <si>
    <t>5-Card Session share</t>
  </si>
  <si>
    <t>Jeremy's own even-thirds split.</t>
  </si>
  <si>
    <t>10-Card Session share</t>
  </si>
  <si>
    <t>Format mix check</t>
  </si>
  <si>
    <t>Guardrail — if you change one format share, change the others so this still reads OK. Should always total 100%.</t>
  </si>
  <si>
    <t>PRICE POINTS — Working price = gross Oh YAAS DTC sales (no wholesale discount)</t>
  </si>
  <si>
    <t>Spotlight price</t>
  </si>
  <si>
    <t>Strategy Book v4.80, Spread 05/08 — verified directly against the live book. CAVEAT: Spread 21 lists exact MSRP/price-ceiling policy as still OPEN, not locked. Also a gross/list price — the Strategy Book leaves room for multi-buy discounts not modeled here.</t>
  </si>
  <si>
    <t>5-Card Session price</t>
  </si>
  <si>
    <t>Strategy Book v4.80, Spread 05/08. Same MSRP and gross-price caveats as above.</t>
  </si>
  <si>
    <t>10-Card Session price</t>
  </si>
  <si>
    <t>ARTIST-TIER DEMAND MIX — working planning assumption, not yet confirmed as Jeremy's own split</t>
  </si>
  <si>
    <t>Tier A share of releases</t>
  </si>
  <si>
    <t>Working planning split (20/30/50): no evidence yet that a fifth of signed artists will be major Tier A acts. Subject to validation.</t>
  </si>
  <si>
    <t>Tier B share of releases</t>
  </si>
  <si>
    <t>Same — working placeholder, not yet confirmed.</t>
  </si>
  <si>
    <t>Tier C share of releases</t>
  </si>
  <si>
    <t>Artist-tier mix check</t>
  </si>
  <si>
    <t>Guardrail — if you change one tier share, change the others so this still reads OK. Should always total 100%.</t>
  </si>
  <si>
    <t>TIER UNIT PERFORMANCE — 2027 baseline, per release (applied uniformly across formats, see note below)</t>
  </si>
  <si>
    <t>Tier A units/release — 2027</t>
  </si>
  <si>
    <t>Jeremy's own number: "tier A... might sell 10,000 cards." He named a Topps x LeBron drop selling ~200,000 of one card as evidence a breakout artist could run far above this — see scale note below.</t>
  </si>
  <si>
    <t>Tier B units/release — 2027</t>
  </si>
  <si>
    <t>Working placeholder, not yet Jeremy's own number. He gave Tier A (10,000) and Tier C (500) himself but never gave a Tier B figure. Subject to validation.</t>
  </si>
  <si>
    <t>Tier C units/release — 2027</t>
  </si>
  <si>
    <t>Jeremy's own number: "tier C... might only sell 500 cards."</t>
  </si>
  <si>
    <t>YoY growth, per-release unit performance</t>
  </si>
  <si>
    <t>Jeremy, 2026-10-13: updated from 10% to 20% per year, compounding (2028 = 2027 x1.20; 2029 = 2027 x1.44).</t>
  </si>
  <si>
    <t>SCALE / BREAKOUT-ARTIST NOTE: Jeremy's own point, 2026-10-13 — "we don't have one deal with any music artist yet" and a true breakout (his example: a Topps x LeBron drop selling ~200,000 copies of one card) could run far above this model's 10,000-unit Tier A figure. The modeled Tier A range is a planning assumption, not a sales ceiling — a standard FREQUENCY release can itself exceed it; it doesn't have to become a separate Spread 11 "Mega-Artist Exception" product to do so. No such extraordinary outcome is included in this Planning Case.</t>
  </si>
  <si>
    <t>SECTION 2 — DTC COST ASSUMPTIONS (COGS) — WORKING PLACEHOLDERS, LESS CERTAIN THAN SECTION 1</t>
  </si>
  <si>
    <t>DTC COST ASSUMPTIONS (no wholesale/freight-to-distributor layer)</t>
  </si>
  <si>
    <t>Incremental production cost — Spotlight</t>
  </si>
  <si>
    <t>Working placeholder — subject to validation against final production, packaging, fulfillment, and payment-processing assumptions. Source: prior FREQUENCY pricing model; not independently revalidated for this forecast.</t>
  </si>
  <si>
    <t>Incremental production cost — 5-Card Session</t>
  </si>
  <si>
    <t>Working placeholder — subject to validation. Same sourcing caveat as above.</t>
  </si>
  <si>
    <t>Incremental production cost — 10-Card Session</t>
  </si>
  <si>
    <t>Fulfillment cost per order</t>
  </si>
  <si>
    <t>Working placeholder — subject to validation against final production, packaging, fulfillment, and payment-processing assumptions. One order assumed per unit sold (no multi-buy bundling modeled) — this assumption alone is worth checking before this goes further.</t>
  </si>
  <si>
    <t>AUTOGRAPHS: autographs ARE part of FREQUENCY's standard chase architecture — a replacement outcome on Spotlight and a bonus-slot chase outcome on 5-Card/10-Card Sessions, with autograph inventory as a Genesis-configurable field per release (verified against the live Strategy Book). Autograph acquisition/handling cost is not yet modeled — not because autographs are absent from FREQUENCY, but because cost is subject to artist-specific availability and commercial terms not yet set.</t>
  </si>
  <si>
    <t>REPLACEMENT / DAMAGED ALLOWANCE: not modeled. FREQUENCY's standard production model is order-driven (print-after-window-closes, no unsold inventory to discount) — there's no "unsold/damaged" wholesale allowance like the box-model documents use. Whether damaged-shipment replacements get produced from the same declared population or a separate allowance is Q11-replacement — still an OPEN item in the Strategy Book Ledger, not decided. Modeled here as $0 / not yet applicable, not as a confirmed zero-cost assumption.</t>
  </si>
  <si>
    <t>MODELING SIMPLIFICATION: this model applies the same per-tier unit figure across all three formats for a given tier (a Tier A artist's 10-Card Session is modeled selling the same unit count as that artist's Spotlight would). Real behavior may differ by format price/commitment level. Flagged, not silently built in.</t>
  </si>
  <si>
    <t>FREQUENCY 2027-2029 — Release x Format x Artist-Tier Detail</t>
  </si>
  <si>
    <t>Every figure is a formula pulling from the Inputs tab. Change an assumption there and this sheet recalculates.</t>
  </si>
  <si>
    <t>Format</t>
  </si>
  <si>
    <t>Tier</t>
  </si>
  <si>
    <t>Releases</t>
  </si>
  <si>
    <t>Units/release</t>
  </si>
  <si>
    <t>Total units</t>
  </si>
  <si>
    <t>Price</t>
  </si>
  <si>
    <t>Gross DTC sales</t>
  </si>
  <si>
    <t>Production cost/unit</t>
  </si>
  <si>
    <t>Total production cost</t>
  </si>
  <si>
    <t>Fulfillment cost</t>
  </si>
  <si>
    <t>Spotlight</t>
  </si>
  <si>
    <t>Tier A</t>
  </si>
  <si>
    <t>Tier B</t>
  </si>
  <si>
    <t>Tier C</t>
  </si>
  <si>
    <t>5-Card Session</t>
  </si>
  <si>
    <t>10-Card Session</t>
  </si>
  <si>
    <t>2027 TOTAL</t>
  </si>
  <si>
    <t>2028 TOTAL</t>
  </si>
  <si>
    <t>2029 TOTAL</t>
  </si>
  <si>
    <t>LIFETIME TOTAL</t>
  </si>
  <si>
    <t>Frequency (Direct to Consumer Sales)</t>
  </si>
  <si>
    <t>Card revenue - Frequency</t>
  </si>
  <si>
    <t>Cards &amp; Packaging - Frequency</t>
  </si>
  <si>
    <t>Freight &amp; Fulfillment - Frequency</t>
  </si>
  <si>
    <t>Frequency Rev Share</t>
  </si>
  <si>
    <t>Proposal Verbally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</si>
</sst>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* #,##0_);_(* \(#,##0\);_(* &quot;-&quot;??_);_(@_)"/>
    <numFmt numFmtId="167" formatCode="0.0%"/>
    <numFmt numFmtId="168" formatCode="[$-409]mmm\-yy"/>
    <numFmt numFmtId="169" formatCode="_(&quot;$&quot;* #,##0_);_(&quot;$&quot;* \(#,##0\);_(&quot;$&quot;* &quot;-&quot;??_);_(@_)"/>
    <numFmt numFmtId="170" formatCode="mmmm\ yyyy"/>
    <numFmt numFmtId="171" formatCode="[$-F800]dddd\,\ mmmm\ dd\,\ yyyy"/>
    <numFmt numFmtId="172" formatCode="\$#,##0.00"/>
    <numFmt numFmtId="173" formatCode="\$#,##0"/>
  </numFmts>
  <fonts count="107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FF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ptos Narrow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FF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Aptos Narrow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22222"/>
      <name val="Calibri"/>
      <family val="2"/>
    </font>
    <font>
      <sz val="7"/>
      <color rgb="FF040C13"/>
      <name val="Calibri"/>
      <family val="2"/>
    </font>
    <font>
      <sz val="11"/>
      <color rgb="FF222222"/>
      <name val="Calibri"/>
      <family val="2"/>
    </font>
    <font>
      <b/>
      <sz val="8"/>
      <color rgb="FF292929"/>
      <name val="Calibri"/>
      <family val="2"/>
    </font>
    <font>
      <b/>
      <sz val="11"/>
      <color theme="1"/>
      <name val="Calibri"/>
      <family val="2"/>
    </font>
    <font>
      <sz val="9"/>
      <color rgb="FF222222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Arial"/>
      <family val="2"/>
    </font>
    <font>
      <b/>
      <sz val="12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i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ptos Narrow"/>
      <family val="2"/>
    </font>
    <font>
      <b/>
      <sz val="10"/>
      <color rgb="FF0000FF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b/>
      <sz val="11"/>
      <color rgb="FF0000FF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6100"/>
      <name val="Aptos Narrow"/>
      <family val="2"/>
      <scheme val="minor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222222"/>
      <name val="Segoe UI"/>
      <family val="2"/>
    </font>
    <font>
      <b/>
      <sz val="11"/>
      <color rgb="FF222222"/>
      <name val="Calibri"/>
      <family val="2"/>
    </font>
    <font>
      <b/>
      <sz val="11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2"/>
      <color theme="0"/>
      <name val="Aptos Narrow"/>
      <family val="2"/>
    </font>
    <font>
      <b/>
      <sz val="12"/>
      <color theme="0"/>
      <name val="Aptos Narrow"/>
      <family val="2"/>
    </font>
    <font>
      <b/>
      <sz val="12"/>
      <color theme="1"/>
      <name val="Aptos Narrow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sz val="12"/>
      <color rgb="FF000000"/>
      <name val="&quot;Aptos Narrow&quot;"/>
    </font>
    <font>
      <sz val="12"/>
      <color rgb="FFFFFFFF"/>
      <name val="&quot;Aptos Narrow&quot;"/>
    </font>
    <font>
      <b/>
      <sz val="12"/>
      <color rgb="FF000000"/>
      <name val="&quot;Aptos Narrow&quot;"/>
    </font>
    <font>
      <b/>
      <sz val="12"/>
      <color theme="1"/>
      <name val="Arial"/>
      <family val="2"/>
    </font>
    <font>
      <b/>
      <sz val="12"/>
      <color theme="2"/>
      <name val="Aptos Narrow"/>
      <family val="2"/>
    </font>
    <font>
      <b/>
      <sz val="12"/>
      <color theme="2"/>
      <name val="&quot;Aptos Narrow&quot;"/>
    </font>
    <font>
      <b/>
      <sz val="12"/>
      <color theme="2"/>
      <name val="Arial"/>
      <family val="2"/>
    </font>
    <font>
      <b/>
      <sz val="12"/>
      <name val="Aptos Narrow"/>
      <family val="2"/>
    </font>
    <font>
      <b/>
      <sz val="12"/>
      <name val="Arial"/>
      <family val="2"/>
    </font>
    <font>
      <b/>
      <sz val="12"/>
      <name val="&quot;Aptos Narrow&quot;"/>
    </font>
    <font>
      <b/>
      <sz val="9"/>
      <name val="Calibri"/>
      <family val="2"/>
    </font>
    <font>
      <sz val="1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Arial"/>
      <family val="2"/>
    </font>
    <font>
      <sz val="10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i/>
      <sz val="9"/>
      <color rgb="FF000000"/>
      <name val="Arial"/>
      <family val="2"/>
    </font>
    <font>
      <sz val="10"/>
      <color rgb="FF0000FF"/>
      <name val="Arial"/>
      <family val="2"/>
    </font>
    <font>
      <i/>
      <sz val="10"/>
      <color rgb="FF806000"/>
      <name val="Arial"/>
      <family val="2"/>
    </font>
    <font>
      <sz val="11"/>
      <color theme="1"/>
      <name val="Calibri"/>
      <family val="2"/>
      <charset val="1"/>
    </font>
    <font>
      <i/>
      <sz val="9"/>
      <color rgb="FF595959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i/>
      <sz val="10"/>
      <color rgb="FF595959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i/>
      <sz val="10"/>
      <color rgb="FF9C5700"/>
      <name val="Arial"/>
      <family val="2"/>
    </font>
    <font>
      <b/>
      <sz val="12"/>
      <name val="Arial"/>
      <family val="2"/>
    </font>
    <font>
      <b/>
      <sz val="11"/>
      <color rgb="FF0000FF"/>
      <name val="Arial"/>
      <family val="2"/>
    </font>
    <font>
      <b/>
      <i/>
      <sz val="11"/>
      <name val="Arial"/>
      <family val="2"/>
    </font>
    <font>
      <b/>
      <sz val="12"/>
      <color rgb="FF9C5700"/>
      <name val="Arial"/>
      <family val="2"/>
    </font>
    <font>
      <sz val="10"/>
      <name val="Arial"/>
      <family val="2"/>
    </font>
    <font>
      <i/>
      <sz val="9"/>
      <color rgb="FF595959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333F4F"/>
        <bgColor rgb="FF333F4F"/>
      </patternFill>
    </fill>
    <fill>
      <patternFill patternType="solid">
        <fgColor rgb="FF8EAADB"/>
        <bgColor rgb="FF8EAADB"/>
      </patternFill>
    </fill>
    <fill>
      <patternFill patternType="solid">
        <fgColor rgb="FFF2F2F2"/>
        <bgColor rgb="FFF2F2F2"/>
      </patternFill>
    </fill>
    <fill>
      <patternFill patternType="solid">
        <fgColor rgb="FFD6DCE4"/>
        <bgColor rgb="FFD6DCE4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rgb="FFC6EFCE"/>
      </patternFill>
    </fill>
    <fill>
      <patternFill patternType="solid">
        <fgColor rgb="FFFFC000"/>
        <bgColor rgb="FFFFC000"/>
      </patternFill>
    </fill>
    <fill>
      <patternFill patternType="solid">
        <fgColor rgb="FFC1E4F5"/>
        <bgColor rgb="FFC1E4F5"/>
      </patternFill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4D94D8"/>
        <bgColor rgb="FF4D94D8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215C98"/>
        <bgColor rgb="FF215C98"/>
      </patternFill>
    </fill>
    <fill>
      <patternFill patternType="solid">
        <fgColor rgb="FFFF0000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1F2A44"/>
        <bgColor rgb="FF003366"/>
      </patternFill>
    </fill>
    <fill>
      <patternFill patternType="solid">
        <fgColor rgb="FFFDEBD3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D9E1F2"/>
        <bgColor rgb="FFBDD7EE"/>
      </patternFill>
    </fill>
    <fill>
      <patternFill patternType="solid">
        <fgColor rgb="FFBDD7EE"/>
        <bgColor rgb="FFD9E1F2"/>
      </patternFill>
    </fill>
  </fills>
  <borders count="9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6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0" borderId="19"/>
    <xf numFmtId="43" fontId="4" fillId="0" borderId="19" applyFont="0" applyFill="0" applyBorder="0" applyAlignment="0" applyProtection="0"/>
    <xf numFmtId="9" fontId="4" fillId="0" borderId="19" applyFont="0" applyFill="0" applyBorder="0" applyAlignment="0" applyProtection="0"/>
    <xf numFmtId="44" fontId="4" fillId="0" borderId="19" applyFont="0" applyFill="0" applyBorder="0" applyAlignment="0" applyProtection="0"/>
    <xf numFmtId="0" fontId="3" fillId="0" borderId="19"/>
    <xf numFmtId="43" fontId="3" fillId="0" borderId="19" applyFont="0" applyFill="0" applyBorder="0" applyAlignment="0" applyProtection="0"/>
    <xf numFmtId="9" fontId="3" fillId="0" borderId="19" applyFont="0" applyFill="0" applyBorder="0" applyAlignment="0" applyProtection="0"/>
    <xf numFmtId="44" fontId="3" fillId="0" borderId="19" applyFont="0" applyFill="0" applyBorder="0" applyAlignment="0" applyProtection="0"/>
    <xf numFmtId="0" fontId="2" fillId="0" borderId="19"/>
    <xf numFmtId="0" fontId="57" fillId="32" borderId="19" applyNumberFormat="0" applyBorder="0" applyAlignment="0" applyProtection="0"/>
    <xf numFmtId="9" fontId="2" fillId="0" borderId="19" applyFont="0" applyFill="0" applyBorder="0" applyAlignment="0" applyProtection="0"/>
    <xf numFmtId="0" fontId="10" fillId="0" borderId="19"/>
    <xf numFmtId="0" fontId="1" fillId="0" borderId="19"/>
    <xf numFmtId="44" fontId="10" fillId="0" borderId="19" applyFont="0" applyFill="0" applyBorder="0" applyAlignment="0" applyProtection="0"/>
    <xf numFmtId="9" fontId="10" fillId="0" borderId="19" applyFont="0" applyFill="0" applyBorder="0" applyAlignment="0" applyProtection="0"/>
    <xf numFmtId="43" fontId="10" fillId="0" borderId="19" applyFont="0" applyFill="0" applyBorder="0" applyAlignment="0" applyProtection="0"/>
    <xf numFmtId="0" fontId="65" fillId="0" borderId="19"/>
    <xf numFmtId="0" fontId="1" fillId="0" borderId="19"/>
    <xf numFmtId="44" fontId="1" fillId="0" borderId="19" applyFont="0" applyFill="0" applyBorder="0" applyAlignment="0" applyProtection="0"/>
    <xf numFmtId="9" fontId="1" fillId="0" borderId="19" applyFont="0" applyFill="0" applyBorder="0" applyAlignment="0" applyProtection="0"/>
    <xf numFmtId="43" fontId="1" fillId="0" borderId="19" applyFont="0" applyFill="0" applyBorder="0" applyAlignment="0" applyProtection="0"/>
    <xf numFmtId="0" fontId="92" fillId="0" borderId="19"/>
  </cellStyleXfs>
  <cellXfs count="1216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1" fontId="9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3" fontId="9" fillId="0" borderId="0" xfId="0" applyNumberFormat="1" applyFont="1"/>
    <xf numFmtId="165" fontId="9" fillId="0" borderId="0" xfId="0" applyNumberFormat="1" applyFont="1"/>
    <xf numFmtId="9" fontId="9" fillId="0" borderId="0" xfId="0" applyNumberFormat="1" applyFont="1"/>
    <xf numFmtId="166" fontId="9" fillId="0" borderId="0" xfId="0" applyNumberFormat="1" applyFont="1"/>
    <xf numFmtId="0" fontId="12" fillId="0" borderId="0" xfId="0" applyFont="1"/>
    <xf numFmtId="9" fontId="13" fillId="0" borderId="0" xfId="0" applyNumberFormat="1" applyFont="1"/>
    <xf numFmtId="0" fontId="13" fillId="0" borderId="8" xfId="0" applyFont="1" applyBorder="1"/>
    <xf numFmtId="0" fontId="13" fillId="0" borderId="0" xfId="0" applyFont="1" applyAlignment="1">
      <alignment vertical="center"/>
    </xf>
    <xf numFmtId="9" fontId="13" fillId="0" borderId="9" xfId="0" applyNumberFormat="1" applyFon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/>
    <xf numFmtId="0" fontId="13" fillId="0" borderId="11" xfId="0" applyFont="1" applyBorder="1"/>
    <xf numFmtId="167" fontId="13" fillId="0" borderId="11" xfId="0" applyNumberFormat="1" applyFont="1" applyBorder="1"/>
    <xf numFmtId="10" fontId="13" fillId="0" borderId="9" xfId="0" applyNumberFormat="1" applyFont="1" applyBorder="1" applyAlignment="1">
      <alignment horizontal="left"/>
    </xf>
    <xf numFmtId="0" fontId="13" fillId="0" borderId="9" xfId="0" applyFont="1" applyBorder="1"/>
    <xf numFmtId="9" fontId="13" fillId="0" borderId="12" xfId="0" applyNumberFormat="1" applyFont="1" applyBorder="1" applyAlignment="1">
      <alignment horizontal="left" vertical="center"/>
    </xf>
    <xf numFmtId="0" fontId="13" fillId="0" borderId="12" xfId="0" applyFont="1" applyBorder="1"/>
    <xf numFmtId="0" fontId="14" fillId="0" borderId="0" xfId="0" applyFont="1"/>
    <xf numFmtId="168" fontId="9" fillId="0" borderId="0" xfId="0" applyNumberFormat="1" applyFont="1" applyAlignment="1">
      <alignment horizontal="center"/>
    </xf>
    <xf numFmtId="0" fontId="9" fillId="3" borderId="13" xfId="0" applyFont="1" applyFill="1" applyBorder="1"/>
    <xf numFmtId="17" fontId="15" fillId="3" borderId="13" xfId="0" applyNumberFormat="1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7" fontId="15" fillId="3" borderId="14" xfId="0" applyNumberFormat="1" applyFont="1" applyFill="1" applyBorder="1" applyAlignment="1">
      <alignment horizontal="center"/>
    </xf>
    <xf numFmtId="0" fontId="15" fillId="4" borderId="13" xfId="0" applyFont="1" applyFill="1" applyBorder="1" applyAlignment="1">
      <alignment horizontal="right"/>
    </xf>
    <xf numFmtId="0" fontId="9" fillId="4" borderId="13" xfId="0" applyFont="1" applyFill="1" applyBorder="1"/>
    <xf numFmtId="0" fontId="9" fillId="4" borderId="2" xfId="0" applyFont="1" applyFill="1" applyBorder="1" applyAlignment="1">
      <alignment horizontal="center"/>
    </xf>
    <xf numFmtId="0" fontId="9" fillId="4" borderId="14" xfId="0" applyFont="1" applyFill="1" applyBorder="1"/>
    <xf numFmtId="0" fontId="9" fillId="0" borderId="0" xfId="0" applyFont="1" applyAlignment="1">
      <alignment horizontal="right"/>
    </xf>
    <xf numFmtId="41" fontId="9" fillId="0" borderId="0" xfId="0" applyNumberFormat="1" applyFont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5" borderId="15" xfId="0" applyNumberFormat="1" applyFont="1" applyFill="1" applyBorder="1" applyAlignment="1">
      <alignment horizontal="right"/>
    </xf>
    <xf numFmtId="0" fontId="9" fillId="0" borderId="2" xfId="0" applyFont="1" applyBorder="1"/>
    <xf numFmtId="0" fontId="7" fillId="0" borderId="2" xfId="0" applyFont="1" applyBorder="1" applyAlignment="1">
      <alignment horizontal="right"/>
    </xf>
    <xf numFmtId="169" fontId="7" fillId="0" borderId="16" xfId="0" applyNumberFormat="1" applyFont="1" applyBorder="1" applyAlignment="1">
      <alignment horizontal="right"/>
    </xf>
    <xf numFmtId="169" fontId="7" fillId="5" borderId="16" xfId="0" applyNumberFormat="1" applyFont="1" applyFill="1" applyBorder="1" applyAlignment="1">
      <alignment horizontal="right"/>
    </xf>
    <xf numFmtId="169" fontId="7" fillId="5" borderId="17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center"/>
    </xf>
    <xf numFmtId="164" fontId="9" fillId="5" borderId="0" xfId="0" applyNumberFormat="1" applyFont="1" applyFill="1" applyAlignment="1">
      <alignment horizontal="center"/>
    </xf>
    <xf numFmtId="164" fontId="9" fillId="5" borderId="15" xfId="0" applyNumberFormat="1" applyFont="1" applyFill="1" applyBorder="1" applyAlignment="1">
      <alignment horizontal="center"/>
    </xf>
    <xf numFmtId="0" fontId="16" fillId="4" borderId="13" xfId="0" applyFont="1" applyFill="1" applyBorder="1" applyAlignment="1">
      <alignment horizontal="right"/>
    </xf>
    <xf numFmtId="0" fontId="7" fillId="4" borderId="13" xfId="0" applyFont="1" applyFill="1" applyBorder="1"/>
    <xf numFmtId="0" fontId="7" fillId="6" borderId="13" xfId="0" applyFont="1" applyFill="1" applyBorder="1"/>
    <xf numFmtId="17" fontId="7" fillId="6" borderId="13" xfId="0" applyNumberFormat="1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166" fontId="9" fillId="0" borderId="0" xfId="0" applyNumberFormat="1" applyFont="1" applyAlignment="1">
      <alignment horizontal="right"/>
    </xf>
    <xf numFmtId="0" fontId="9" fillId="0" borderId="11" xfId="0" applyFont="1" applyBorder="1"/>
    <xf numFmtId="0" fontId="9" fillId="0" borderId="11" xfId="0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right"/>
    </xf>
    <xf numFmtId="169" fontId="7" fillId="0" borderId="2" xfId="0" applyNumberFormat="1" applyFont="1" applyBorder="1" applyAlignment="1">
      <alignment horizontal="right"/>
    </xf>
    <xf numFmtId="169" fontId="7" fillId="5" borderId="2" xfId="0" applyNumberFormat="1" applyFont="1" applyFill="1" applyBorder="1" applyAlignment="1">
      <alignment horizontal="right"/>
    </xf>
    <xf numFmtId="169" fontId="7" fillId="5" borderId="14" xfId="0" applyNumberFormat="1" applyFont="1" applyFill="1" applyBorder="1" applyAlignment="1">
      <alignment horizontal="right"/>
    </xf>
    <xf numFmtId="164" fontId="17" fillId="0" borderId="0" xfId="0" applyNumberFormat="1" applyFont="1" applyAlignment="1">
      <alignment horizontal="left"/>
    </xf>
    <xf numFmtId="164" fontId="9" fillId="5" borderId="18" xfId="0" applyNumberFormat="1" applyFont="1" applyFill="1" applyBorder="1" applyAlignment="1">
      <alignment horizontal="center"/>
    </xf>
    <xf numFmtId="0" fontId="15" fillId="7" borderId="13" xfId="0" applyFont="1" applyFill="1" applyBorder="1" applyAlignment="1">
      <alignment horizontal="right"/>
    </xf>
    <xf numFmtId="0" fontId="16" fillId="7" borderId="13" xfId="0" applyFont="1" applyFill="1" applyBorder="1" applyAlignment="1">
      <alignment horizontal="right"/>
    </xf>
    <xf numFmtId="0" fontId="7" fillId="7" borderId="13" xfId="0" applyFont="1" applyFill="1" applyBorder="1"/>
    <xf numFmtId="0" fontId="7" fillId="6" borderId="13" xfId="0" applyFont="1" applyFill="1" applyBorder="1" applyAlignment="1">
      <alignment horizontal="left"/>
    </xf>
    <xf numFmtId="166" fontId="9" fillId="0" borderId="0" xfId="0" applyNumberFormat="1" applyFont="1" applyAlignment="1">
      <alignment horizontal="left"/>
    </xf>
    <xf numFmtId="166" fontId="9" fillId="5" borderId="15" xfId="0" applyNumberFormat="1" applyFont="1" applyFill="1" applyBorder="1"/>
    <xf numFmtId="166" fontId="9" fillId="0" borderId="11" xfId="0" applyNumberFormat="1" applyFont="1" applyBorder="1" applyAlignment="1">
      <alignment horizontal="left"/>
    </xf>
    <xf numFmtId="166" fontId="9" fillId="0" borderId="11" xfId="0" applyNumberFormat="1" applyFont="1" applyBorder="1" applyAlignment="1">
      <alignment horizontal="right"/>
    </xf>
    <xf numFmtId="169" fontId="7" fillId="0" borderId="2" xfId="0" applyNumberFormat="1" applyFont="1" applyBorder="1"/>
    <xf numFmtId="169" fontId="7" fillId="5" borderId="2" xfId="0" applyNumberFormat="1" applyFont="1" applyFill="1" applyBorder="1"/>
    <xf numFmtId="169" fontId="7" fillId="5" borderId="14" xfId="0" applyNumberFormat="1" applyFont="1" applyFill="1" applyBorder="1"/>
    <xf numFmtId="0" fontId="9" fillId="8" borderId="2" xfId="0" applyFont="1" applyFill="1" applyBorder="1"/>
    <xf numFmtId="0" fontId="7" fillId="8" borderId="2" xfId="0" applyFont="1" applyFill="1" applyBorder="1" applyAlignment="1">
      <alignment horizontal="right"/>
    </xf>
    <xf numFmtId="169" fontId="7" fillId="8" borderId="2" xfId="0" applyNumberFormat="1" applyFont="1" applyFill="1" applyBorder="1"/>
    <xf numFmtId="169" fontId="7" fillId="8" borderId="2" xfId="0" applyNumberFormat="1" applyFont="1" applyFill="1" applyBorder="1" applyAlignment="1">
      <alignment horizontal="right"/>
    </xf>
    <xf numFmtId="169" fontId="7" fillId="8" borderId="14" xfId="0" applyNumberFormat="1" applyFont="1" applyFill="1" applyBorder="1" applyAlignment="1">
      <alignment horizontal="right"/>
    </xf>
    <xf numFmtId="169" fontId="7" fillId="4" borderId="13" xfId="0" applyNumberFormat="1" applyFont="1" applyFill="1" applyBorder="1"/>
    <xf numFmtId="169" fontId="7" fillId="4" borderId="13" xfId="0" applyNumberFormat="1" applyFont="1" applyFill="1" applyBorder="1" applyAlignment="1">
      <alignment horizontal="right"/>
    </xf>
    <xf numFmtId="0" fontId="18" fillId="0" borderId="0" xfId="0" applyFont="1"/>
    <xf numFmtId="0" fontId="16" fillId="0" borderId="0" xfId="0" applyFont="1" applyAlignment="1">
      <alignment horizontal="center"/>
    </xf>
    <xf numFmtId="169" fontId="7" fillId="0" borderId="0" xfId="0" applyNumberFormat="1" applyFont="1" applyAlignment="1">
      <alignment horizontal="right"/>
    </xf>
    <xf numFmtId="164" fontId="18" fillId="0" borderId="0" xfId="0" applyNumberFormat="1" applyFont="1"/>
    <xf numFmtId="0" fontId="13" fillId="9" borderId="19" xfId="0" applyFont="1" applyFill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44" fontId="13" fillId="9" borderId="19" xfId="0" applyNumberFormat="1" applyFont="1" applyFill="1" applyBorder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10" borderId="19" xfId="0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left" vertical="center"/>
    </xf>
    <xf numFmtId="0" fontId="13" fillId="11" borderId="19" xfId="0" applyFont="1" applyFill="1" applyBorder="1" applyAlignment="1">
      <alignment horizontal="left" vertical="center"/>
    </xf>
    <xf numFmtId="166" fontId="13" fillId="0" borderId="0" xfId="0" applyNumberFormat="1" applyFont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12" borderId="19" xfId="0" applyFont="1" applyFill="1" applyBorder="1" applyAlignment="1">
      <alignment horizontal="right" vertical="center"/>
    </xf>
    <xf numFmtId="0" fontId="13" fillId="12" borderId="19" xfId="0" applyFont="1" applyFill="1" applyBorder="1" applyAlignment="1">
      <alignment horizontal="left" vertical="center"/>
    </xf>
    <xf numFmtId="0" fontId="19" fillId="12" borderId="19" xfId="0" applyFont="1" applyFill="1" applyBorder="1" applyAlignment="1">
      <alignment horizontal="right" vertical="center"/>
    </xf>
    <xf numFmtId="0" fontId="13" fillId="12" borderId="19" xfId="0" applyFont="1" applyFill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/>
    </xf>
    <xf numFmtId="0" fontId="20" fillId="9" borderId="19" xfId="0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9" fontId="13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0" fontId="20" fillId="9" borderId="19" xfId="0" applyFont="1" applyFill="1" applyBorder="1" applyAlignment="1">
      <alignment horizontal="left" vertical="center"/>
    </xf>
    <xf numFmtId="164" fontId="20" fillId="0" borderId="0" xfId="0" applyNumberFormat="1" applyFont="1" applyAlignment="1">
      <alignment horizontal="right" vertical="center"/>
    </xf>
    <xf numFmtId="44" fontId="20" fillId="9" borderId="19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165" fontId="13" fillId="0" borderId="0" xfId="0" applyNumberFormat="1" applyFont="1" applyAlignment="1">
      <alignment horizontal="left" vertical="center"/>
    </xf>
    <xf numFmtId="164" fontId="23" fillId="0" borderId="0" xfId="0" applyNumberFormat="1" applyFont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170" fontId="13" fillId="0" borderId="0" xfId="0" applyNumberFormat="1" applyFont="1" applyAlignment="1">
      <alignment horizontal="left" vertical="center"/>
    </xf>
    <xf numFmtId="0" fontId="26" fillId="0" borderId="0" xfId="0" applyFont="1" applyAlignment="1">
      <alignment vertical="center"/>
    </xf>
    <xf numFmtId="17" fontId="15" fillId="3" borderId="13" xfId="0" applyNumberFormat="1" applyFont="1" applyFill="1" applyBorder="1" applyAlignment="1">
      <alignment horizontal="left"/>
    </xf>
    <xf numFmtId="0" fontId="25" fillId="0" borderId="0" xfId="0" applyFont="1"/>
    <xf numFmtId="169" fontId="13" fillId="0" borderId="0" xfId="0" applyNumberFormat="1" applyFont="1"/>
    <xf numFmtId="0" fontId="25" fillId="0" borderId="16" xfId="0" applyFont="1" applyBorder="1"/>
    <xf numFmtId="0" fontId="13" fillId="0" borderId="16" xfId="0" applyFont="1" applyBorder="1"/>
    <xf numFmtId="169" fontId="25" fillId="0" borderId="16" xfId="0" applyNumberFormat="1" applyFont="1" applyBorder="1"/>
    <xf numFmtId="169" fontId="25" fillId="0" borderId="0" xfId="0" applyNumberFormat="1" applyFont="1"/>
    <xf numFmtId="44" fontId="13" fillId="0" borderId="0" xfId="0" applyNumberFormat="1" applyFont="1"/>
    <xf numFmtId="3" fontId="13" fillId="0" borderId="0" xfId="0" applyNumberFormat="1" applyFont="1"/>
    <xf numFmtId="0" fontId="12" fillId="0" borderId="0" xfId="0" applyFont="1" applyAlignment="1">
      <alignment wrapText="1"/>
    </xf>
    <xf numFmtId="0" fontId="27" fillId="0" borderId="0" xfId="0" applyFont="1" applyAlignment="1">
      <alignment horizontal="left"/>
    </xf>
    <xf numFmtId="165" fontId="2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left"/>
    </xf>
    <xf numFmtId="165" fontId="27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vertical="center"/>
    </xf>
    <xf numFmtId="165" fontId="27" fillId="0" borderId="3" xfId="0" applyNumberFormat="1" applyFont="1" applyBorder="1" applyAlignment="1">
      <alignment horizontal="right"/>
    </xf>
    <xf numFmtId="17" fontId="27" fillId="0" borderId="20" xfId="0" applyNumberFormat="1" applyFont="1" applyBorder="1" applyAlignment="1">
      <alignment horizontal="right"/>
    </xf>
    <xf numFmtId="165" fontId="13" fillId="0" borderId="0" xfId="0" applyNumberFormat="1" applyFont="1" applyAlignment="1">
      <alignment vertical="center"/>
    </xf>
    <xf numFmtId="17" fontId="27" fillId="0" borderId="14" xfId="0" applyNumberFormat="1" applyFont="1" applyBorder="1" applyAlignment="1">
      <alignment horizontal="right"/>
    </xf>
    <xf numFmtId="0" fontId="12" fillId="13" borderId="14" xfId="0" applyFont="1" applyFill="1" applyBorder="1" applyAlignment="1">
      <alignment wrapText="1"/>
    </xf>
    <xf numFmtId="0" fontId="13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center"/>
    </xf>
    <xf numFmtId="0" fontId="30" fillId="9" borderId="22" xfId="0" applyFont="1" applyFill="1" applyBorder="1"/>
    <xf numFmtId="0" fontId="30" fillId="9" borderId="23" xfId="0" applyFont="1" applyFill="1" applyBorder="1"/>
    <xf numFmtId="0" fontId="30" fillId="9" borderId="23" xfId="0" applyFont="1" applyFill="1" applyBorder="1" applyAlignment="1">
      <alignment horizontal="center"/>
    </xf>
    <xf numFmtId="17" fontId="30" fillId="9" borderId="23" xfId="0" applyNumberFormat="1" applyFont="1" applyFill="1" applyBorder="1"/>
    <xf numFmtId="17" fontId="30" fillId="9" borderId="24" xfId="0" applyNumberFormat="1" applyFont="1" applyFill="1" applyBorder="1"/>
    <xf numFmtId="0" fontId="30" fillId="0" borderId="0" xfId="0" applyFont="1"/>
    <xf numFmtId="9" fontId="29" fillId="0" borderId="0" xfId="0" applyNumberFormat="1" applyFont="1" applyAlignment="1">
      <alignment horizontal="center"/>
    </xf>
    <xf numFmtId="0" fontId="29" fillId="0" borderId="2" xfId="0" applyFont="1" applyBorder="1"/>
    <xf numFmtId="169" fontId="29" fillId="0" borderId="0" xfId="0" applyNumberFormat="1" applyFont="1"/>
    <xf numFmtId="169" fontId="29" fillId="0" borderId="2" xfId="0" applyNumberFormat="1" applyFont="1" applyBorder="1"/>
    <xf numFmtId="169" fontId="30" fillId="13" borderId="22" xfId="0" applyNumberFormat="1" applyFont="1" applyFill="1" applyBorder="1"/>
    <xf numFmtId="169" fontId="30" fillId="13" borderId="23" xfId="0" applyNumberFormat="1" applyFont="1" applyFill="1" applyBorder="1"/>
    <xf numFmtId="169" fontId="30" fillId="13" borderId="23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66" fontId="29" fillId="0" borderId="0" xfId="0" applyNumberFormat="1" applyFont="1"/>
    <xf numFmtId="9" fontId="29" fillId="0" borderId="0" xfId="0" applyNumberFormat="1" applyFont="1"/>
    <xf numFmtId="44" fontId="29" fillId="0" borderId="0" xfId="0" applyNumberFormat="1" applyFont="1"/>
    <xf numFmtId="167" fontId="29" fillId="0" borderId="0" xfId="0" applyNumberFormat="1" applyFont="1"/>
    <xf numFmtId="166" fontId="29" fillId="0" borderId="0" xfId="0" applyNumberFormat="1" applyFont="1" applyAlignment="1">
      <alignment horizontal="center"/>
    </xf>
    <xf numFmtId="0" fontId="30" fillId="13" borderId="22" xfId="0" applyFont="1" applyFill="1" applyBorder="1"/>
    <xf numFmtId="0" fontId="30" fillId="13" borderId="23" xfId="0" applyFont="1" applyFill="1" applyBorder="1" applyAlignment="1">
      <alignment horizontal="center"/>
    </xf>
    <xf numFmtId="44" fontId="30" fillId="13" borderId="24" xfId="0" applyNumberFormat="1" applyFont="1" applyFill="1" applyBorder="1"/>
    <xf numFmtId="0" fontId="25" fillId="6" borderId="22" xfId="0" applyFont="1" applyFill="1" applyBorder="1"/>
    <xf numFmtId="0" fontId="25" fillId="6" borderId="23" xfId="0" applyFont="1" applyFill="1" applyBorder="1"/>
    <xf numFmtId="0" fontId="25" fillId="6" borderId="23" xfId="0" applyFont="1" applyFill="1" applyBorder="1" applyAlignment="1">
      <alignment horizontal="center"/>
    </xf>
    <xf numFmtId="0" fontId="25" fillId="6" borderId="24" xfId="0" applyFont="1" applyFill="1" applyBorder="1" applyAlignment="1">
      <alignment horizontal="center"/>
    </xf>
    <xf numFmtId="43" fontId="6" fillId="0" borderId="0" xfId="0" applyNumberFormat="1" applyFont="1"/>
    <xf numFmtId="166" fontId="6" fillId="0" borderId="0" xfId="0" applyNumberFormat="1" applyFont="1" applyAlignment="1">
      <alignment horizontal="left"/>
    </xf>
    <xf numFmtId="44" fontId="6" fillId="0" borderId="0" xfId="0" applyNumberFormat="1" applyFont="1" applyAlignment="1">
      <alignment horizontal="left"/>
    </xf>
    <xf numFmtId="169" fontId="6" fillId="0" borderId="0" xfId="0" applyNumberFormat="1" applyFont="1"/>
    <xf numFmtId="9" fontId="6" fillId="0" borderId="0" xfId="0" applyNumberFormat="1" applyFont="1"/>
    <xf numFmtId="44" fontId="6" fillId="0" borderId="0" xfId="0" applyNumberFormat="1" applyFont="1"/>
    <xf numFmtId="43" fontId="13" fillId="0" borderId="0" xfId="0" applyNumberFormat="1" applyFont="1"/>
    <xf numFmtId="166" fontId="13" fillId="0" borderId="0" xfId="0" applyNumberFormat="1" applyFont="1"/>
    <xf numFmtId="0" fontId="6" fillId="0" borderId="0" xfId="0" applyFont="1" applyAlignment="1">
      <alignment horizontal="center"/>
    </xf>
    <xf numFmtId="0" fontId="6" fillId="3" borderId="13" xfId="0" applyFont="1" applyFill="1" applyBorder="1"/>
    <xf numFmtId="17" fontId="31" fillId="3" borderId="13" xfId="0" applyNumberFormat="1" applyFont="1" applyFill="1" applyBorder="1" applyAlignment="1">
      <alignment horizontal="center"/>
    </xf>
    <xf numFmtId="17" fontId="31" fillId="3" borderId="14" xfId="0" applyNumberFormat="1" applyFont="1" applyFill="1" applyBorder="1" applyAlignment="1">
      <alignment horizontal="center"/>
    </xf>
    <xf numFmtId="0" fontId="31" fillId="4" borderId="13" xfId="0" applyFont="1" applyFill="1" applyBorder="1" applyAlignment="1">
      <alignment horizontal="right"/>
    </xf>
    <xf numFmtId="0" fontId="6" fillId="4" borderId="13" xfId="0" applyFont="1" applyFill="1" applyBorder="1"/>
    <xf numFmtId="9" fontId="6" fillId="4" borderId="13" xfId="0" applyNumberFormat="1" applyFont="1" applyFill="1" applyBorder="1"/>
    <xf numFmtId="0" fontId="6" fillId="4" borderId="14" xfId="0" applyFont="1" applyFill="1" applyBorder="1"/>
    <xf numFmtId="0" fontId="6" fillId="0" borderId="2" xfId="0" applyFont="1" applyBorder="1"/>
    <xf numFmtId="0" fontId="12" fillId="0" borderId="2" xfId="0" applyFont="1" applyBorder="1" applyAlignment="1">
      <alignment horizontal="right"/>
    </xf>
    <xf numFmtId="0" fontId="12" fillId="0" borderId="28" xfId="0" applyFont="1" applyBorder="1" applyAlignment="1">
      <alignment horizontal="right"/>
    </xf>
    <xf numFmtId="169" fontId="12" fillId="0" borderId="16" xfId="0" applyNumberFormat="1" applyFont="1" applyBorder="1" applyAlignment="1">
      <alignment horizontal="right"/>
    </xf>
    <xf numFmtId="169" fontId="12" fillId="16" borderId="1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164" fontId="6" fillId="5" borderId="15" xfId="0" applyNumberFormat="1" applyFont="1" applyFill="1" applyBorder="1" applyAlignment="1">
      <alignment horizontal="center"/>
    </xf>
    <xf numFmtId="0" fontId="12" fillId="4" borderId="13" xfId="0" applyFont="1" applyFill="1" applyBorder="1"/>
    <xf numFmtId="0" fontId="12" fillId="6" borderId="13" xfId="0" applyFont="1" applyFill="1" applyBorder="1"/>
    <xf numFmtId="17" fontId="12" fillId="6" borderId="13" xfId="0" applyNumberFormat="1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166" fontId="6" fillId="0" borderId="0" xfId="0" applyNumberFormat="1" applyFont="1"/>
    <xf numFmtId="166" fontId="6" fillId="0" borderId="0" xfId="0" applyNumberFormat="1" applyFont="1" applyAlignment="1">
      <alignment horizontal="right"/>
    </xf>
    <xf numFmtId="9" fontId="6" fillId="0" borderId="0" xfId="0" applyNumberFormat="1" applyFont="1" applyAlignment="1">
      <alignment horizontal="right"/>
    </xf>
    <xf numFmtId="166" fontId="6" fillId="5" borderId="15" xfId="0" applyNumberFormat="1" applyFont="1" applyFill="1" applyBorder="1" applyAlignment="1">
      <alignment horizontal="right"/>
    </xf>
    <xf numFmtId="0" fontId="6" fillId="0" borderId="11" xfId="0" applyFont="1" applyBorder="1"/>
    <xf numFmtId="0" fontId="6" fillId="0" borderId="11" xfId="0" applyFont="1" applyBorder="1" applyAlignment="1">
      <alignment horizontal="right"/>
    </xf>
    <xf numFmtId="0" fontId="12" fillId="0" borderId="11" xfId="0" applyFont="1" applyBorder="1" applyAlignment="1">
      <alignment horizontal="left"/>
    </xf>
    <xf numFmtId="0" fontId="12" fillId="0" borderId="11" xfId="0" applyFont="1" applyBorder="1" applyAlignment="1">
      <alignment horizontal="right"/>
    </xf>
    <xf numFmtId="169" fontId="12" fillId="0" borderId="2" xfId="0" applyNumberFormat="1" applyFont="1" applyBorder="1" applyAlignment="1">
      <alignment horizontal="right"/>
    </xf>
    <xf numFmtId="169" fontId="12" fillId="5" borderId="14" xfId="0" applyNumberFormat="1" applyFont="1" applyFill="1" applyBorder="1" applyAlignment="1">
      <alignment horizontal="right"/>
    </xf>
    <xf numFmtId="0" fontId="12" fillId="0" borderId="2" xfId="0" applyFont="1" applyBorder="1"/>
    <xf numFmtId="169" fontId="12" fillId="0" borderId="2" xfId="0" applyNumberFormat="1" applyFont="1" applyBorder="1"/>
    <xf numFmtId="0" fontId="6" fillId="0" borderId="28" xfId="0" applyFont="1" applyBorder="1"/>
    <xf numFmtId="169" fontId="12" fillId="0" borderId="28" xfId="0" applyNumberFormat="1" applyFont="1" applyBorder="1"/>
    <xf numFmtId="169" fontId="12" fillId="5" borderId="29" xfId="0" applyNumberFormat="1" applyFont="1" applyFill="1" applyBorder="1" applyAlignment="1">
      <alignment horizontal="right"/>
    </xf>
    <xf numFmtId="169" fontId="12" fillId="14" borderId="13" xfId="0" applyNumberFormat="1" applyFont="1" applyFill="1" applyBorder="1"/>
    <xf numFmtId="169" fontId="12" fillId="14" borderId="13" xfId="0" applyNumberFormat="1" applyFont="1" applyFill="1" applyBorder="1" applyAlignment="1">
      <alignment horizontal="right"/>
    </xf>
    <xf numFmtId="9" fontId="12" fillId="14" borderId="13" xfId="0" applyNumberFormat="1" applyFont="1" applyFill="1" applyBorder="1" applyAlignment="1">
      <alignment horizontal="right"/>
    </xf>
    <xf numFmtId="169" fontId="12" fillId="14" borderId="14" xfId="0" applyNumberFormat="1" applyFont="1" applyFill="1" applyBorder="1"/>
    <xf numFmtId="169" fontId="12" fillId="17" borderId="13" xfId="0" applyNumberFormat="1" applyFont="1" applyFill="1" applyBorder="1"/>
    <xf numFmtId="169" fontId="12" fillId="17" borderId="13" xfId="0" applyNumberFormat="1" applyFont="1" applyFill="1" applyBorder="1" applyAlignment="1">
      <alignment horizontal="right"/>
    </xf>
    <xf numFmtId="9" fontId="12" fillId="17" borderId="13" xfId="0" applyNumberFormat="1" applyFont="1" applyFill="1" applyBorder="1" applyAlignment="1">
      <alignment horizontal="right"/>
    </xf>
    <xf numFmtId="169" fontId="12" fillId="17" borderId="14" xfId="0" applyNumberFormat="1" applyFont="1" applyFill="1" applyBorder="1"/>
    <xf numFmtId="169" fontId="12" fillId="18" borderId="13" xfId="0" applyNumberFormat="1" applyFont="1" applyFill="1" applyBorder="1"/>
    <xf numFmtId="169" fontId="12" fillId="18" borderId="13" xfId="0" applyNumberFormat="1" applyFont="1" applyFill="1" applyBorder="1" applyAlignment="1">
      <alignment horizontal="right"/>
    </xf>
    <xf numFmtId="9" fontId="12" fillId="18" borderId="13" xfId="0" applyNumberFormat="1" applyFont="1" applyFill="1" applyBorder="1" applyAlignment="1">
      <alignment horizontal="right"/>
    </xf>
    <xf numFmtId="169" fontId="12" fillId="18" borderId="14" xfId="0" applyNumberFormat="1" applyFont="1" applyFill="1" applyBorder="1"/>
    <xf numFmtId="169" fontId="12" fillId="4" borderId="13" xfId="0" applyNumberFormat="1" applyFont="1" applyFill="1" applyBorder="1"/>
    <xf numFmtId="169" fontId="12" fillId="4" borderId="13" xfId="0" applyNumberFormat="1" applyFont="1" applyFill="1" applyBorder="1" applyAlignment="1">
      <alignment horizontal="right"/>
    </xf>
    <xf numFmtId="9" fontId="12" fillId="4" borderId="13" xfId="0" applyNumberFormat="1" applyFont="1" applyFill="1" applyBorder="1" applyAlignment="1">
      <alignment horizontal="right"/>
    </xf>
    <xf numFmtId="169" fontId="12" fillId="4" borderId="14" xfId="0" applyNumberFormat="1" applyFont="1" applyFill="1" applyBorder="1"/>
    <xf numFmtId="8" fontId="13" fillId="0" borderId="0" xfId="0" applyNumberFormat="1" applyFont="1"/>
    <xf numFmtId="6" fontId="13" fillId="0" borderId="0" xfId="0" applyNumberFormat="1" applyFont="1"/>
    <xf numFmtId="6" fontId="25" fillId="0" borderId="0" xfId="0" applyNumberFormat="1" applyFont="1"/>
    <xf numFmtId="0" fontId="31" fillId="3" borderId="14" xfId="0" applyFont="1" applyFill="1" applyBorder="1" applyAlignment="1">
      <alignment horizontal="center"/>
    </xf>
    <xf numFmtId="0" fontId="6" fillId="4" borderId="30" xfId="0" applyFont="1" applyFill="1" applyBorder="1"/>
    <xf numFmtId="169" fontId="12" fillId="5" borderId="17" xfId="0" applyNumberFormat="1" applyFont="1" applyFill="1" applyBorder="1" applyAlignment="1">
      <alignment horizontal="right"/>
    </xf>
    <xf numFmtId="42" fontId="6" fillId="5" borderId="15" xfId="0" applyNumberFormat="1" applyFont="1" applyFill="1" applyBorder="1" applyAlignment="1">
      <alignment horizontal="right"/>
    </xf>
    <xf numFmtId="164" fontId="12" fillId="5" borderId="15" xfId="0" applyNumberFormat="1" applyFont="1" applyFill="1" applyBorder="1" applyAlignment="1">
      <alignment horizontal="right"/>
    </xf>
    <xf numFmtId="17" fontId="12" fillId="6" borderId="14" xfId="0" applyNumberFormat="1" applyFont="1" applyFill="1" applyBorder="1" applyAlignment="1">
      <alignment horizontal="right"/>
    </xf>
    <xf numFmtId="0" fontId="12" fillId="6" borderId="14" xfId="0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2" fillId="19" borderId="14" xfId="0" applyFont="1" applyFill="1" applyBorder="1" applyAlignment="1">
      <alignment horizontal="center"/>
    </xf>
    <xf numFmtId="0" fontId="13" fillId="0" borderId="14" xfId="0" applyFont="1" applyBorder="1"/>
    <xf numFmtId="43" fontId="12" fillId="0" borderId="0" xfId="0" applyNumberFormat="1" applyFont="1"/>
    <xf numFmtId="0" fontId="25" fillId="20" borderId="31" xfId="0" applyFont="1" applyFill="1" applyBorder="1"/>
    <xf numFmtId="0" fontId="25" fillId="20" borderId="32" xfId="0" applyFont="1" applyFill="1" applyBorder="1"/>
    <xf numFmtId="0" fontId="25" fillId="20" borderId="33" xfId="0" applyFont="1" applyFill="1" applyBorder="1"/>
    <xf numFmtId="44" fontId="25" fillId="0" borderId="16" xfId="0" applyNumberFormat="1" applyFont="1" applyBorder="1"/>
    <xf numFmtId="0" fontId="6" fillId="0" borderId="0" xfId="0" applyFont="1" applyAlignment="1">
      <alignment horizontal="left"/>
    </xf>
    <xf numFmtId="0" fontId="25" fillId="15" borderId="22" xfId="0" applyFont="1" applyFill="1" applyBorder="1"/>
    <xf numFmtId="0" fontId="25" fillId="15" borderId="23" xfId="0" applyFont="1" applyFill="1" applyBorder="1"/>
    <xf numFmtId="0" fontId="25" fillId="15" borderId="23" xfId="0" applyFont="1" applyFill="1" applyBorder="1" applyAlignment="1">
      <alignment horizontal="center"/>
    </xf>
    <xf numFmtId="0" fontId="25" fillId="15" borderId="24" xfId="0" applyFont="1" applyFill="1" applyBorder="1" applyAlignment="1">
      <alignment horizontal="center"/>
    </xf>
    <xf numFmtId="0" fontId="25" fillId="15" borderId="22" xfId="0" applyFont="1" applyFill="1" applyBorder="1" applyAlignment="1">
      <alignment horizontal="center"/>
    </xf>
    <xf numFmtId="44" fontId="25" fillId="20" borderId="32" xfId="0" applyNumberFormat="1" applyFont="1" applyFill="1" applyBorder="1"/>
    <xf numFmtId="44" fontId="25" fillId="20" borderId="33" xfId="0" applyNumberFormat="1" applyFont="1" applyFill="1" applyBorder="1"/>
    <xf numFmtId="0" fontId="33" fillId="0" borderId="0" xfId="0" applyFont="1"/>
    <xf numFmtId="9" fontId="34" fillId="0" borderId="0" xfId="0" applyNumberFormat="1" applyFont="1"/>
    <xf numFmtId="0" fontId="25" fillId="21" borderId="31" xfId="0" applyFont="1" applyFill="1" applyBorder="1"/>
    <xf numFmtId="0" fontId="25" fillId="21" borderId="32" xfId="0" applyFont="1" applyFill="1" applyBorder="1"/>
    <xf numFmtId="44" fontId="25" fillId="21" borderId="32" xfId="0" applyNumberFormat="1" applyFont="1" applyFill="1" applyBorder="1"/>
    <xf numFmtId="44" fontId="25" fillId="21" borderId="33" xfId="0" applyNumberFormat="1" applyFont="1" applyFill="1" applyBorder="1"/>
    <xf numFmtId="0" fontId="35" fillId="19" borderId="14" xfId="0" applyFont="1" applyFill="1" applyBorder="1"/>
    <xf numFmtId="0" fontId="35" fillId="19" borderId="14" xfId="0" applyFont="1" applyFill="1" applyBorder="1" applyAlignment="1">
      <alignment horizontal="center"/>
    </xf>
    <xf numFmtId="0" fontId="35" fillId="19" borderId="19" xfId="0" applyFont="1" applyFill="1" applyBorder="1"/>
    <xf numFmtId="0" fontId="35" fillId="0" borderId="0" xfId="0" applyFont="1"/>
    <xf numFmtId="0" fontId="32" fillId="0" borderId="2" xfId="0" applyFont="1" applyBorder="1"/>
    <xf numFmtId="0" fontId="32" fillId="0" borderId="0" xfId="0" applyFont="1"/>
    <xf numFmtId="44" fontId="32" fillId="0" borderId="16" xfId="0" applyNumberFormat="1" applyFont="1" applyBorder="1"/>
    <xf numFmtId="6" fontId="35" fillId="0" borderId="0" xfId="0" applyNumberFormat="1" applyFont="1"/>
    <xf numFmtId="9" fontId="35" fillId="0" borderId="0" xfId="0" applyNumberFormat="1" applyFont="1"/>
    <xf numFmtId="44" fontId="35" fillId="0" borderId="0" xfId="0" applyNumberFormat="1" applyFont="1"/>
    <xf numFmtId="0" fontId="35" fillId="0" borderId="0" xfId="0" applyFont="1" applyAlignment="1">
      <alignment horizontal="right"/>
    </xf>
    <xf numFmtId="0" fontId="35" fillId="0" borderId="0" xfId="0" applyFont="1" applyAlignment="1">
      <alignment horizontal="left"/>
    </xf>
    <xf numFmtId="0" fontId="32" fillId="0" borderId="16" xfId="0" applyFont="1" applyBorder="1"/>
    <xf numFmtId="0" fontId="32" fillId="0" borderId="0" xfId="0" applyFont="1" applyAlignment="1">
      <alignment horizontal="center"/>
    </xf>
    <xf numFmtId="0" fontId="36" fillId="0" borderId="0" xfId="0" applyFont="1"/>
    <xf numFmtId="41" fontId="6" fillId="0" borderId="0" xfId="0" applyNumberFormat="1" applyFont="1" applyAlignment="1">
      <alignment horizontal="right"/>
    </xf>
    <xf numFmtId="44" fontId="6" fillId="0" borderId="0" xfId="0" applyNumberFormat="1" applyFont="1" applyAlignment="1">
      <alignment horizontal="right"/>
    </xf>
    <xf numFmtId="44" fontId="6" fillId="5" borderId="15" xfId="0" applyNumberFormat="1" applyFont="1" applyFill="1" applyBorder="1" applyAlignment="1">
      <alignment horizontal="right"/>
    </xf>
    <xf numFmtId="3" fontId="6" fillId="0" borderId="0" xfId="0" applyNumberFormat="1" applyFont="1"/>
    <xf numFmtId="166" fontId="0" fillId="0" borderId="0" xfId="1" applyNumberFormat="1" applyFont="1"/>
    <xf numFmtId="44" fontId="0" fillId="0" borderId="0" xfId="2" applyFont="1"/>
    <xf numFmtId="166" fontId="0" fillId="0" borderId="0" xfId="0" applyNumberFormat="1"/>
    <xf numFmtId="164" fontId="0" fillId="0" borderId="0" xfId="2" applyNumberFormat="1" applyFont="1"/>
    <xf numFmtId="164" fontId="0" fillId="0" borderId="0" xfId="0" applyNumberFormat="1"/>
    <xf numFmtId="44" fontId="0" fillId="0" borderId="0" xfId="0" applyNumberFormat="1"/>
    <xf numFmtId="166" fontId="38" fillId="0" borderId="38" xfId="0" applyNumberFormat="1" applyFont="1" applyBorder="1"/>
    <xf numFmtId="0" fontId="38" fillId="0" borderId="0" xfId="0" applyFont="1"/>
    <xf numFmtId="166" fontId="38" fillId="0" borderId="19" xfId="0" applyNumberFormat="1" applyFont="1" applyBorder="1"/>
    <xf numFmtId="44" fontId="38" fillId="0" borderId="38" xfId="2" applyFont="1" applyBorder="1"/>
    <xf numFmtId="44" fontId="38" fillId="0" borderId="19" xfId="2" applyFont="1" applyBorder="1"/>
    <xf numFmtId="0" fontId="0" fillId="0" borderId="19" xfId="0" applyBorder="1"/>
    <xf numFmtId="44" fontId="0" fillId="0" borderId="19" xfId="2" applyFont="1" applyBorder="1"/>
    <xf numFmtId="0" fontId="38" fillId="0" borderId="0" xfId="0" applyFont="1" applyAlignment="1">
      <alignment horizontal="center"/>
    </xf>
    <xf numFmtId="44" fontId="4" fillId="0" borderId="0" xfId="2" applyFont="1"/>
    <xf numFmtId="9" fontId="20" fillId="10" borderId="19" xfId="3" applyFont="1" applyFill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44" fontId="38" fillId="23" borderId="34" xfId="0" applyNumberFormat="1" applyFont="1" applyFill="1" applyBorder="1"/>
    <xf numFmtId="44" fontId="4" fillId="0" borderId="0" xfId="2" applyFont="1" applyAlignment="1">
      <alignment horizontal="right"/>
    </xf>
    <xf numFmtId="0" fontId="4" fillId="0" borderId="0" xfId="0" applyFont="1" applyAlignment="1">
      <alignment horizontal="right"/>
    </xf>
    <xf numFmtId="166" fontId="4" fillId="0" borderId="19" xfId="0" applyNumberFormat="1" applyFont="1" applyBorder="1"/>
    <xf numFmtId="9" fontId="0" fillId="0" borderId="0" xfId="3" applyFont="1"/>
    <xf numFmtId="44" fontId="38" fillId="0" borderId="19" xfId="0" applyNumberFormat="1" applyFont="1" applyBorder="1"/>
    <xf numFmtId="0" fontId="40" fillId="0" borderId="42" xfId="0" applyFont="1" applyBorder="1" applyAlignment="1">
      <alignment horizontal="center"/>
    </xf>
    <xf numFmtId="0" fontId="41" fillId="0" borderId="43" xfId="0" applyFont="1" applyBorder="1" applyAlignment="1">
      <alignment horizontal="right"/>
    </xf>
    <xf numFmtId="166" fontId="40" fillId="0" borderId="43" xfId="1" applyNumberFormat="1" applyFont="1" applyBorder="1" applyAlignment="1">
      <alignment horizontal="center"/>
    </xf>
    <xf numFmtId="0" fontId="40" fillId="0" borderId="43" xfId="0" applyFont="1" applyBorder="1" applyAlignment="1">
      <alignment horizontal="center"/>
    </xf>
    <xf numFmtId="166" fontId="40" fillId="0" borderId="44" xfId="1" applyNumberFormat="1" applyFont="1" applyBorder="1" applyAlignment="1">
      <alignment horizontal="center"/>
    </xf>
    <xf numFmtId="0" fontId="41" fillId="0" borderId="19" xfId="0" applyFont="1" applyBorder="1"/>
    <xf numFmtId="0" fontId="42" fillId="0" borderId="45" xfId="0" applyFont="1" applyBorder="1" applyAlignment="1">
      <alignment horizontal="center"/>
    </xf>
    <xf numFmtId="0" fontId="42" fillId="0" borderId="19" xfId="0" applyFont="1" applyBorder="1" applyAlignment="1">
      <alignment horizontal="center"/>
    </xf>
    <xf numFmtId="0" fontId="43" fillId="0" borderId="19" xfId="0" applyFont="1" applyBorder="1" applyAlignment="1">
      <alignment horizontal="center" vertical="center"/>
    </xf>
    <xf numFmtId="0" fontId="43" fillId="0" borderId="46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44" fontId="42" fillId="0" borderId="45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3" fillId="0" borderId="40" xfId="0" applyFont="1" applyBorder="1" applyAlignment="1">
      <alignment horizontal="center" vertical="center"/>
    </xf>
    <xf numFmtId="0" fontId="42" fillId="0" borderId="40" xfId="0" applyFont="1" applyBorder="1" applyAlignment="1">
      <alignment horizontal="center"/>
    </xf>
    <xf numFmtId="0" fontId="43" fillId="0" borderId="41" xfId="0" applyFont="1" applyBorder="1" applyAlignment="1">
      <alignment horizontal="center" vertical="center"/>
    </xf>
    <xf numFmtId="44" fontId="42" fillId="0" borderId="19" xfId="0" applyNumberFormat="1" applyFont="1" applyBorder="1" applyAlignment="1">
      <alignment horizontal="center"/>
    </xf>
    <xf numFmtId="44" fontId="42" fillId="0" borderId="39" xfId="0" applyNumberFormat="1" applyFont="1" applyBorder="1" applyAlignment="1">
      <alignment horizontal="center"/>
    </xf>
    <xf numFmtId="44" fontId="42" fillId="0" borderId="40" xfId="0" applyNumberFormat="1" applyFont="1" applyBorder="1" applyAlignment="1">
      <alignment horizontal="center"/>
    </xf>
    <xf numFmtId="0" fontId="42" fillId="0" borderId="0" xfId="0" applyFont="1"/>
    <xf numFmtId="0" fontId="44" fillId="0" borderId="0" xfId="0" applyFont="1"/>
    <xf numFmtId="0" fontId="45" fillId="0" borderId="0" xfId="0" applyFont="1"/>
    <xf numFmtId="168" fontId="42" fillId="0" borderId="0" xfId="0" applyNumberFormat="1" applyFont="1" applyAlignment="1">
      <alignment horizontal="center"/>
    </xf>
    <xf numFmtId="17" fontId="46" fillId="3" borderId="13" xfId="0" applyNumberFormat="1" applyFont="1" applyFill="1" applyBorder="1" applyAlignment="1">
      <alignment horizontal="center"/>
    </xf>
    <xf numFmtId="17" fontId="46" fillId="3" borderId="14" xfId="0" applyNumberFormat="1" applyFont="1" applyFill="1" applyBorder="1" applyAlignment="1">
      <alignment horizontal="center"/>
    </xf>
    <xf numFmtId="0" fontId="47" fillId="3" borderId="14" xfId="0" applyFont="1" applyFill="1" applyBorder="1" applyAlignment="1">
      <alignment horizontal="center"/>
    </xf>
    <xf numFmtId="17" fontId="47" fillId="3" borderId="13" xfId="0" applyNumberFormat="1" applyFont="1" applyFill="1" applyBorder="1" applyAlignment="1">
      <alignment horizontal="center"/>
    </xf>
    <xf numFmtId="0" fontId="42" fillId="4" borderId="13" xfId="0" applyFont="1" applyFill="1" applyBorder="1"/>
    <xf numFmtId="0" fontId="42" fillId="4" borderId="14" xfId="0" applyFont="1" applyFill="1" applyBorder="1"/>
    <xf numFmtId="0" fontId="44" fillId="4" borderId="13" xfId="0" applyFont="1" applyFill="1" applyBorder="1"/>
    <xf numFmtId="0" fontId="44" fillId="4" borderId="14" xfId="0" applyFont="1" applyFill="1" applyBorder="1"/>
    <xf numFmtId="41" fontId="42" fillId="0" borderId="0" xfId="0" applyNumberFormat="1" applyFont="1" applyAlignment="1">
      <alignment horizontal="right"/>
    </xf>
    <xf numFmtId="166" fontId="42" fillId="5" borderId="15" xfId="0" applyNumberFormat="1" applyFont="1" applyFill="1" applyBorder="1" applyAlignment="1">
      <alignment horizontal="right"/>
    </xf>
    <xf numFmtId="169" fontId="48" fillId="0" borderId="16" xfId="0" applyNumberFormat="1" applyFont="1" applyBorder="1" applyAlignment="1">
      <alignment horizontal="right"/>
    </xf>
    <xf numFmtId="169" fontId="48" fillId="5" borderId="17" xfId="0" applyNumberFormat="1" applyFont="1" applyFill="1" applyBorder="1" applyAlignment="1">
      <alignment horizontal="right"/>
    </xf>
    <xf numFmtId="164" fontId="42" fillId="0" borderId="0" xfId="0" applyNumberFormat="1" applyFont="1" applyAlignment="1">
      <alignment horizontal="center"/>
    </xf>
    <xf numFmtId="164" fontId="42" fillId="5" borderId="15" xfId="0" applyNumberFormat="1" applyFont="1" applyFill="1" applyBorder="1" applyAlignment="1">
      <alignment horizontal="center"/>
    </xf>
    <xf numFmtId="164" fontId="44" fillId="0" borderId="0" xfId="0" applyNumberFormat="1" applyFont="1"/>
    <xf numFmtId="164" fontId="44" fillId="5" borderId="15" xfId="0" applyNumberFormat="1" applyFont="1" applyFill="1" applyBorder="1"/>
    <xf numFmtId="0" fontId="48" fillId="4" borderId="13" xfId="0" applyFont="1" applyFill="1" applyBorder="1"/>
    <xf numFmtId="17" fontId="48" fillId="6" borderId="13" xfId="0" applyNumberFormat="1" applyFont="1" applyFill="1" applyBorder="1" applyAlignment="1">
      <alignment horizontal="center"/>
    </xf>
    <xf numFmtId="0" fontId="48" fillId="6" borderId="14" xfId="0" applyFont="1" applyFill="1" applyBorder="1" applyAlignment="1">
      <alignment horizontal="center"/>
    </xf>
    <xf numFmtId="17" fontId="44" fillId="6" borderId="13" xfId="0" applyNumberFormat="1" applyFont="1" applyFill="1" applyBorder="1"/>
    <xf numFmtId="0" fontId="44" fillId="6" borderId="14" xfId="0" applyFont="1" applyFill="1" applyBorder="1"/>
    <xf numFmtId="166" fontId="42" fillId="0" borderId="0" xfId="0" applyNumberFormat="1" applyFont="1" applyAlignment="1">
      <alignment horizontal="right"/>
    </xf>
    <xf numFmtId="166" fontId="44" fillId="0" borderId="0" xfId="0" applyNumberFormat="1" applyFont="1"/>
    <xf numFmtId="169" fontId="48" fillId="0" borderId="2" xfId="0" applyNumberFormat="1" applyFont="1" applyBorder="1" applyAlignment="1">
      <alignment horizontal="right"/>
    </xf>
    <xf numFmtId="169" fontId="48" fillId="5" borderId="14" xfId="0" applyNumberFormat="1" applyFont="1" applyFill="1" applyBorder="1" applyAlignment="1">
      <alignment horizontal="right"/>
    </xf>
    <xf numFmtId="164" fontId="42" fillId="5" borderId="18" xfId="0" applyNumberFormat="1" applyFont="1" applyFill="1" applyBorder="1" applyAlignment="1">
      <alignment horizontal="center"/>
    </xf>
    <xf numFmtId="164" fontId="44" fillId="5" borderId="18" xfId="0" applyNumberFormat="1" applyFont="1" applyFill="1" applyBorder="1"/>
    <xf numFmtId="0" fontId="48" fillId="7" borderId="13" xfId="0" applyFont="1" applyFill="1" applyBorder="1"/>
    <xf numFmtId="0" fontId="44" fillId="7" borderId="13" xfId="0" applyFont="1" applyFill="1" applyBorder="1"/>
    <xf numFmtId="166" fontId="42" fillId="0" borderId="0" xfId="0" applyNumberFormat="1" applyFont="1"/>
    <xf numFmtId="166" fontId="42" fillId="5" borderId="15" xfId="0" applyNumberFormat="1" applyFont="1" applyFill="1" applyBorder="1"/>
    <xf numFmtId="169" fontId="48" fillId="0" borderId="2" xfId="0" applyNumberFormat="1" applyFont="1" applyBorder="1"/>
    <xf numFmtId="169" fontId="48" fillId="5" borderId="14" xfId="0" applyNumberFormat="1" applyFont="1" applyFill="1" applyBorder="1"/>
    <xf numFmtId="169" fontId="44" fillId="0" borderId="2" xfId="0" applyNumberFormat="1" applyFont="1" applyBorder="1"/>
    <xf numFmtId="169" fontId="44" fillId="5" borderId="14" xfId="0" applyNumberFormat="1" applyFont="1" applyFill="1" applyBorder="1"/>
    <xf numFmtId="169" fontId="48" fillId="8" borderId="2" xfId="0" applyNumberFormat="1" applyFont="1" applyFill="1" applyBorder="1"/>
    <xf numFmtId="169" fontId="48" fillId="8" borderId="14" xfId="0" applyNumberFormat="1" applyFont="1" applyFill="1" applyBorder="1" applyAlignment="1">
      <alignment horizontal="right"/>
    </xf>
    <xf numFmtId="169" fontId="48" fillId="8" borderId="2" xfId="0" applyNumberFormat="1" applyFont="1" applyFill="1" applyBorder="1" applyAlignment="1">
      <alignment horizontal="right"/>
    </xf>
    <xf numFmtId="169" fontId="48" fillId="4" borderId="13" xfId="0" applyNumberFormat="1" applyFont="1" applyFill="1" applyBorder="1"/>
    <xf numFmtId="169" fontId="48" fillId="4" borderId="13" xfId="0" applyNumberFormat="1" applyFont="1" applyFill="1" applyBorder="1" applyAlignment="1">
      <alignment horizontal="right"/>
    </xf>
    <xf numFmtId="3" fontId="42" fillId="0" borderId="0" xfId="0" applyNumberFormat="1" applyFont="1"/>
    <xf numFmtId="3" fontId="44" fillId="0" borderId="0" xfId="0" applyNumberFormat="1" applyFont="1"/>
    <xf numFmtId="0" fontId="41" fillId="0" borderId="0" xfId="0" applyFont="1"/>
    <xf numFmtId="0" fontId="42" fillId="3" borderId="13" xfId="0" applyFont="1" applyFill="1" applyBorder="1"/>
    <xf numFmtId="0" fontId="46" fillId="4" borderId="13" xfId="0" applyFont="1" applyFill="1" applyBorder="1" applyAlignment="1">
      <alignment horizontal="right"/>
    </xf>
    <xf numFmtId="0" fontId="42" fillId="0" borderId="0" xfId="0" applyFont="1" applyAlignment="1">
      <alignment horizontal="right"/>
    </xf>
    <xf numFmtId="0" fontId="48" fillId="0" borderId="2" xfId="0" applyFont="1" applyBorder="1" applyAlignment="1">
      <alignment horizontal="right"/>
    </xf>
    <xf numFmtId="0" fontId="47" fillId="4" borderId="13" xfId="0" applyFont="1" applyFill="1" applyBorder="1" applyAlignment="1">
      <alignment horizontal="right"/>
    </xf>
    <xf numFmtId="0" fontId="48" fillId="6" borderId="13" xfId="0" applyFont="1" applyFill="1" applyBorder="1"/>
    <xf numFmtId="0" fontId="42" fillId="0" borderId="11" xfId="0" applyFont="1" applyBorder="1" applyAlignment="1">
      <alignment horizontal="right"/>
    </xf>
    <xf numFmtId="0" fontId="48" fillId="0" borderId="11" xfId="0" applyFont="1" applyBorder="1" applyAlignment="1">
      <alignment horizontal="right"/>
    </xf>
    <xf numFmtId="0" fontId="47" fillId="7" borderId="13" xfId="0" applyFont="1" applyFill="1" applyBorder="1" applyAlignment="1">
      <alignment horizontal="right"/>
    </xf>
    <xf numFmtId="166" fontId="42" fillId="0" borderId="11" xfId="0" applyNumberFormat="1" applyFont="1" applyBorder="1" applyAlignment="1">
      <alignment horizontal="right"/>
    </xf>
    <xf numFmtId="0" fontId="48" fillId="8" borderId="2" xfId="0" applyFont="1" applyFill="1" applyBorder="1" applyAlignment="1">
      <alignment horizontal="right"/>
    </xf>
    <xf numFmtId="166" fontId="42" fillId="5" borderId="18" xfId="0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right"/>
    </xf>
    <xf numFmtId="0" fontId="42" fillId="0" borderId="19" xfId="0" applyFont="1" applyBorder="1" applyAlignment="1">
      <alignment horizontal="right"/>
    </xf>
    <xf numFmtId="166" fontId="42" fillId="0" borderId="19" xfId="0" applyNumberFormat="1" applyFont="1" applyBorder="1" applyAlignment="1">
      <alignment horizontal="right"/>
    </xf>
    <xf numFmtId="0" fontId="48" fillId="8" borderId="13" xfId="0" applyFont="1" applyFill="1" applyBorder="1" applyAlignment="1">
      <alignment horizontal="right"/>
    </xf>
    <xf numFmtId="9" fontId="42" fillId="0" borderId="0" xfId="3" applyFont="1" applyAlignment="1">
      <alignment horizontal="right"/>
    </xf>
    <xf numFmtId="44" fontId="42" fillId="0" borderId="0" xfId="0" applyNumberFormat="1" applyFont="1"/>
    <xf numFmtId="0" fontId="50" fillId="0" borderId="19" xfId="8" applyFont="1"/>
    <xf numFmtId="0" fontId="3" fillId="0" borderId="19" xfId="8"/>
    <xf numFmtId="0" fontId="48" fillId="0" borderId="19" xfId="8" applyFont="1"/>
    <xf numFmtId="0" fontId="42" fillId="0" borderId="19" xfId="8" applyFont="1"/>
    <xf numFmtId="0" fontId="48" fillId="24" borderId="49" xfId="8" applyFont="1" applyFill="1" applyBorder="1"/>
    <xf numFmtId="17" fontId="46" fillId="25" borderId="49" xfId="8" applyNumberFormat="1" applyFont="1" applyFill="1" applyBorder="1" applyAlignment="1">
      <alignment horizontal="center"/>
    </xf>
    <xf numFmtId="0" fontId="42" fillId="0" borderId="49" xfId="8" applyFont="1" applyBorder="1"/>
    <xf numFmtId="166" fontId="42" fillId="0" borderId="49" xfId="9" applyNumberFormat="1" applyFont="1" applyFill="1" applyBorder="1" applyAlignment="1">
      <alignment horizontal="center"/>
    </xf>
    <xf numFmtId="166" fontId="42" fillId="26" borderId="49" xfId="9" applyNumberFormat="1" applyFont="1" applyFill="1" applyBorder="1" applyAlignment="1">
      <alignment horizontal="center"/>
    </xf>
    <xf numFmtId="166" fontId="42" fillId="26" borderId="49" xfId="9" applyNumberFormat="1" applyFont="1" applyFill="1" applyBorder="1" applyAlignment="1">
      <alignment horizontal="right"/>
    </xf>
    <xf numFmtId="0" fontId="42" fillId="27" borderId="49" xfId="8" applyFont="1" applyFill="1" applyBorder="1" applyAlignment="1">
      <alignment horizontal="center"/>
    </xf>
    <xf numFmtId="166" fontId="42" fillId="27" borderId="49" xfId="9" applyNumberFormat="1" applyFont="1" applyFill="1" applyBorder="1" applyAlignment="1">
      <alignment horizontal="center"/>
    </xf>
    <xf numFmtId="9" fontId="42" fillId="27" borderId="49" xfId="10" applyFont="1" applyFill="1" applyBorder="1" applyAlignment="1">
      <alignment horizontal="center"/>
    </xf>
    <xf numFmtId="166" fontId="42" fillId="27" borderId="49" xfId="9" applyNumberFormat="1" applyFont="1" applyFill="1" applyBorder="1" applyAlignment="1">
      <alignment horizontal="right"/>
    </xf>
    <xf numFmtId="0" fontId="42" fillId="27" borderId="19" xfId="8" applyFont="1" applyFill="1"/>
    <xf numFmtId="0" fontId="48" fillId="0" borderId="49" xfId="8" applyFont="1" applyBorder="1"/>
    <xf numFmtId="0" fontId="42" fillId="0" borderId="49" xfId="8" applyFont="1" applyBorder="1" applyAlignment="1">
      <alignment horizontal="center"/>
    </xf>
    <xf numFmtId="9" fontId="42" fillId="0" borderId="49" xfId="10" applyFont="1" applyFill="1" applyBorder="1" applyAlignment="1">
      <alignment horizontal="center"/>
    </xf>
    <xf numFmtId="166" fontId="42" fillId="0" borderId="49" xfId="9" applyNumberFormat="1" applyFont="1" applyFill="1" applyBorder="1" applyAlignment="1">
      <alignment horizontal="right"/>
    </xf>
    <xf numFmtId="0" fontId="52" fillId="0" borderId="49" xfId="8" applyFont="1" applyBorder="1" applyAlignment="1">
      <alignment vertical="center"/>
    </xf>
    <xf numFmtId="44" fontId="49" fillId="0" borderId="49" xfId="11" applyFont="1" applyFill="1" applyBorder="1"/>
    <xf numFmtId="0" fontId="53" fillId="28" borderId="49" xfId="8" applyFont="1" applyFill="1" applyBorder="1" applyAlignment="1">
      <alignment vertical="center"/>
    </xf>
    <xf numFmtId="169" fontId="42" fillId="0" borderId="49" xfId="11" applyNumberFormat="1" applyFont="1" applyFill="1" applyBorder="1" applyAlignment="1">
      <alignment horizontal="right"/>
    </xf>
    <xf numFmtId="169" fontId="42" fillId="26" borderId="49" xfId="11" applyNumberFormat="1" applyFont="1" applyFill="1" applyBorder="1" applyAlignment="1">
      <alignment horizontal="right"/>
    </xf>
    <xf numFmtId="166" fontId="48" fillId="0" borderId="49" xfId="9" applyNumberFormat="1" applyFont="1" applyFill="1" applyBorder="1"/>
    <xf numFmtId="44" fontId="54" fillId="0" borderId="49" xfId="11" applyFont="1" applyFill="1" applyBorder="1"/>
    <xf numFmtId="0" fontId="3" fillId="0" borderId="49" xfId="8" applyBorder="1"/>
    <xf numFmtId="0" fontId="52" fillId="30" borderId="49" xfId="8" applyFont="1" applyFill="1" applyBorder="1" applyAlignment="1">
      <alignment vertical="center"/>
    </xf>
    <xf numFmtId="169" fontId="48" fillId="0" borderId="49" xfId="11" applyNumberFormat="1" applyFont="1" applyFill="1" applyBorder="1" applyAlignment="1">
      <alignment horizontal="right"/>
    </xf>
    <xf numFmtId="169" fontId="48" fillId="26" borderId="49" xfId="11" applyNumberFormat="1" applyFont="1" applyFill="1" applyBorder="1" applyAlignment="1">
      <alignment horizontal="right"/>
    </xf>
    <xf numFmtId="44" fontId="49" fillId="30" borderId="49" xfId="11" applyFont="1" applyFill="1" applyBorder="1"/>
    <xf numFmtId="166" fontId="42" fillId="0" borderId="49" xfId="9" applyNumberFormat="1" applyFont="1" applyFill="1" applyBorder="1"/>
    <xf numFmtId="3" fontId="49" fillId="0" borderId="49" xfId="9" applyNumberFormat="1" applyFont="1" applyFill="1" applyBorder="1"/>
    <xf numFmtId="0" fontId="52" fillId="30" borderId="47" xfId="8" applyFont="1" applyFill="1" applyBorder="1" applyAlignment="1">
      <alignment vertical="center"/>
    </xf>
    <xf numFmtId="44" fontId="49" fillId="0" borderId="50" xfId="11" applyFont="1" applyFill="1" applyBorder="1"/>
    <xf numFmtId="0" fontId="52" fillId="30" borderId="48" xfId="8" applyFont="1" applyFill="1" applyBorder="1" applyAlignment="1">
      <alignment vertical="center"/>
    </xf>
    <xf numFmtId="44" fontId="49" fillId="30" borderId="48" xfId="11" applyFont="1" applyFill="1" applyBorder="1"/>
    <xf numFmtId="0" fontId="51" fillId="0" borderId="48" xfId="8" applyFont="1" applyBorder="1" applyAlignment="1">
      <alignment horizontal="left"/>
    </xf>
    <xf numFmtId="0" fontId="51" fillId="0" borderId="48" xfId="8" applyFont="1" applyBorder="1" applyAlignment="1">
      <alignment horizontal="right"/>
    </xf>
    <xf numFmtId="169" fontId="48" fillId="0" borderId="48" xfId="11" applyNumberFormat="1" applyFont="1" applyFill="1" applyBorder="1" applyAlignment="1">
      <alignment horizontal="right"/>
    </xf>
    <xf numFmtId="169" fontId="42" fillId="0" borderId="0" xfId="0" applyNumberFormat="1" applyFont="1"/>
    <xf numFmtId="6" fontId="28" fillId="0" borderId="20" xfId="2" applyNumberFormat="1" applyFont="1" applyBorder="1" applyAlignment="1">
      <alignment horizontal="right"/>
    </xf>
    <xf numFmtId="6" fontId="13" fillId="0" borderId="0" xfId="2" applyNumberFormat="1" applyFont="1" applyAlignment="1">
      <alignment vertical="center"/>
    </xf>
    <xf numFmtId="6" fontId="12" fillId="13" borderId="14" xfId="2" applyNumberFormat="1" applyFont="1" applyFill="1" applyBorder="1" applyAlignment="1">
      <alignment horizontal="right"/>
    </xf>
    <xf numFmtId="6" fontId="12" fillId="13" borderId="21" xfId="2" applyNumberFormat="1" applyFont="1" applyFill="1" applyBorder="1" applyAlignment="1">
      <alignment horizontal="right"/>
    </xf>
    <xf numFmtId="6" fontId="12" fillId="0" borderId="0" xfId="2" applyNumberFormat="1" applyFont="1" applyAlignment="1">
      <alignment horizontal="right"/>
    </xf>
    <xf numFmtId="0" fontId="55" fillId="6" borderId="13" xfId="0" applyFont="1" applyFill="1" applyBorder="1"/>
    <xf numFmtId="0" fontId="55" fillId="6" borderId="19" xfId="0" applyFont="1" applyFill="1" applyBorder="1"/>
    <xf numFmtId="0" fontId="48" fillId="6" borderId="19" xfId="0" applyFont="1" applyFill="1" applyBorder="1"/>
    <xf numFmtId="0" fontId="44" fillId="6" borderId="18" xfId="0" applyFont="1" applyFill="1" applyBorder="1"/>
    <xf numFmtId="166" fontId="48" fillId="6" borderId="19" xfId="0" applyNumberFormat="1" applyFont="1" applyFill="1" applyBorder="1" applyAlignment="1">
      <alignment horizontal="center"/>
    </xf>
    <xf numFmtId="166" fontId="48" fillId="6" borderId="18" xfId="0" applyNumberFormat="1" applyFont="1" applyFill="1" applyBorder="1" applyAlignment="1">
      <alignment horizontal="center"/>
    </xf>
    <xf numFmtId="166" fontId="44" fillId="6" borderId="18" xfId="0" applyNumberFormat="1" applyFont="1" applyFill="1" applyBorder="1"/>
    <xf numFmtId="167" fontId="42" fillId="0" borderId="19" xfId="3" applyNumberFormat="1" applyFont="1" applyBorder="1" applyAlignment="1">
      <alignment horizontal="right"/>
    </xf>
    <xf numFmtId="0" fontId="9" fillId="0" borderId="19" xfId="0" applyFont="1" applyBorder="1"/>
    <xf numFmtId="0" fontId="9" fillId="0" borderId="54" xfId="0" applyFont="1" applyBorder="1"/>
    <xf numFmtId="0" fontId="42" fillId="0" borderId="19" xfId="0" applyFont="1" applyBorder="1"/>
    <xf numFmtId="0" fontId="44" fillId="0" borderId="19" xfId="0" applyFont="1" applyBorder="1"/>
    <xf numFmtId="0" fontId="44" fillId="0" borderId="55" xfId="0" applyFont="1" applyBorder="1"/>
    <xf numFmtId="0" fontId="15" fillId="4" borderId="56" xfId="0" applyFont="1" applyFill="1" applyBorder="1" applyAlignment="1">
      <alignment horizontal="right"/>
    </xf>
    <xf numFmtId="166" fontId="42" fillId="5" borderId="58" xfId="0" applyNumberFormat="1" applyFont="1" applyFill="1" applyBorder="1" applyAlignment="1">
      <alignment horizontal="right"/>
    </xf>
    <xf numFmtId="0" fontId="9" fillId="0" borderId="56" xfId="0" applyFont="1" applyBorder="1"/>
    <xf numFmtId="169" fontId="48" fillId="5" borderId="59" xfId="0" applyNumberFormat="1" applyFont="1" applyFill="1" applyBorder="1" applyAlignment="1">
      <alignment horizontal="right"/>
    </xf>
    <xf numFmtId="164" fontId="44" fillId="5" borderId="58" xfId="0" applyNumberFormat="1" applyFont="1" applyFill="1" applyBorder="1"/>
    <xf numFmtId="0" fontId="44" fillId="4" borderId="60" xfId="0" applyFont="1" applyFill="1" applyBorder="1"/>
    <xf numFmtId="0" fontId="7" fillId="6" borderId="56" xfId="0" applyFont="1" applyFill="1" applyBorder="1"/>
    <xf numFmtId="0" fontId="44" fillId="6" borderId="57" xfId="0" applyFont="1" applyFill="1" applyBorder="1"/>
    <xf numFmtId="0" fontId="9" fillId="0" borderId="61" xfId="0" applyFont="1" applyBorder="1"/>
    <xf numFmtId="0" fontId="7" fillId="0" borderId="61" xfId="0" applyFont="1" applyBorder="1" applyAlignment="1">
      <alignment horizontal="left"/>
    </xf>
    <xf numFmtId="169" fontId="48" fillId="5" borderId="57" xfId="0" applyNumberFormat="1" applyFont="1" applyFill="1" applyBorder="1" applyAlignment="1">
      <alignment horizontal="right"/>
    </xf>
    <xf numFmtId="0" fontId="44" fillId="7" borderId="60" xfId="0" applyFont="1" applyFill="1" applyBorder="1"/>
    <xf numFmtId="0" fontId="7" fillId="6" borderId="56" xfId="0" applyFont="1" applyFill="1" applyBorder="1" applyAlignment="1">
      <alignment horizontal="left"/>
    </xf>
    <xf numFmtId="166" fontId="9" fillId="0" borderId="54" xfId="0" applyNumberFormat="1" applyFont="1" applyBorder="1" applyAlignment="1">
      <alignment horizontal="left"/>
    </xf>
    <xf numFmtId="166" fontId="9" fillId="0" borderId="61" xfId="0" applyNumberFormat="1" applyFont="1" applyBorder="1" applyAlignment="1">
      <alignment horizontal="left"/>
    </xf>
    <xf numFmtId="166" fontId="9" fillId="0" borderId="54" xfId="0" applyNumberFormat="1" applyFont="1" applyBorder="1"/>
    <xf numFmtId="169" fontId="44" fillId="5" borderId="57" xfId="0" applyNumberFormat="1" applyFont="1" applyFill="1" applyBorder="1"/>
    <xf numFmtId="0" fontId="55" fillId="6" borderId="56" xfId="0" applyFont="1" applyFill="1" applyBorder="1"/>
    <xf numFmtId="0" fontId="9" fillId="8" borderId="56" xfId="0" applyFont="1" applyFill="1" applyBorder="1"/>
    <xf numFmtId="169" fontId="48" fillId="8" borderId="13" xfId="0" applyNumberFormat="1" applyFont="1" applyFill="1" applyBorder="1" applyAlignment="1">
      <alignment horizontal="right"/>
    </xf>
    <xf numFmtId="169" fontId="48" fillId="8" borderId="60" xfId="0" applyNumberFormat="1" applyFont="1" applyFill="1" applyBorder="1" applyAlignment="1">
      <alignment horizontal="right"/>
    </xf>
    <xf numFmtId="169" fontId="48" fillId="4" borderId="63" xfId="0" applyNumberFormat="1" applyFont="1" applyFill="1" applyBorder="1" applyAlignment="1">
      <alignment horizontal="right"/>
    </xf>
    <xf numFmtId="169" fontId="48" fillId="4" borderId="64" xfId="0" applyNumberFormat="1" applyFont="1" applyFill="1" applyBorder="1" applyAlignment="1">
      <alignment horizontal="right"/>
    </xf>
    <xf numFmtId="0" fontId="9" fillId="0" borderId="62" xfId="0" applyFont="1" applyBorder="1"/>
    <xf numFmtId="0" fontId="55" fillId="0" borderId="0" xfId="0" applyFont="1"/>
    <xf numFmtId="44" fontId="55" fillId="0" borderId="38" xfId="2" applyFont="1" applyBorder="1"/>
    <xf numFmtId="44" fontId="55" fillId="0" borderId="0" xfId="2" applyFont="1"/>
    <xf numFmtId="0" fontId="28" fillId="0" borderId="49" xfId="8" applyFont="1" applyBorder="1" applyAlignment="1">
      <alignment vertical="center"/>
    </xf>
    <xf numFmtId="0" fontId="9" fillId="3" borderId="67" xfId="0" applyFont="1" applyFill="1" applyBorder="1"/>
    <xf numFmtId="0" fontId="42" fillId="3" borderId="29" xfId="0" applyFont="1" applyFill="1" applyBorder="1"/>
    <xf numFmtId="17" fontId="46" fillId="3" borderId="65" xfId="0" applyNumberFormat="1" applyFont="1" applyFill="1" applyBorder="1" applyAlignment="1">
      <alignment horizontal="center"/>
    </xf>
    <xf numFmtId="0" fontId="47" fillId="3" borderId="65" xfId="0" applyFont="1" applyFill="1" applyBorder="1" applyAlignment="1">
      <alignment horizontal="center"/>
    </xf>
    <xf numFmtId="0" fontId="47" fillId="3" borderId="66" xfId="0" applyFont="1" applyFill="1" applyBorder="1" applyAlignment="1">
      <alignment horizontal="center"/>
    </xf>
    <xf numFmtId="0" fontId="15" fillId="4" borderId="68" xfId="0" applyFont="1" applyFill="1" applyBorder="1" applyAlignment="1">
      <alignment horizontal="right"/>
    </xf>
    <xf numFmtId="0" fontId="46" fillId="4" borderId="69" xfId="0" applyFont="1" applyFill="1" applyBorder="1" applyAlignment="1">
      <alignment horizontal="right"/>
    </xf>
    <xf numFmtId="0" fontId="42" fillId="4" borderId="70" xfId="0" applyFont="1" applyFill="1" applyBorder="1"/>
    <xf numFmtId="0" fontId="44" fillId="4" borderId="70" xfId="0" applyFont="1" applyFill="1" applyBorder="1"/>
    <xf numFmtId="0" fontId="44" fillId="4" borderId="71" xfId="0" applyFont="1" applyFill="1" applyBorder="1"/>
    <xf numFmtId="9" fontId="38" fillId="0" borderId="38" xfId="3" applyFont="1" applyBorder="1"/>
    <xf numFmtId="9" fontId="38" fillId="0" borderId="19" xfId="3" applyFont="1" applyBorder="1"/>
    <xf numFmtId="0" fontId="42" fillId="0" borderId="43" xfId="0" applyFont="1" applyBorder="1"/>
    <xf numFmtId="168" fontId="42" fillId="0" borderId="43" xfId="0" applyNumberFormat="1" applyFont="1" applyBorder="1" applyAlignment="1">
      <alignment horizontal="center"/>
    </xf>
    <xf numFmtId="0" fontId="44" fillId="0" borderId="43" xfId="0" applyFont="1" applyBorder="1"/>
    <xf numFmtId="0" fontId="44" fillId="0" borderId="44" xfId="0" applyFont="1" applyBorder="1"/>
    <xf numFmtId="0" fontId="47" fillId="3" borderId="72" xfId="0" applyFont="1" applyFill="1" applyBorder="1" applyAlignment="1">
      <alignment horizontal="center"/>
    </xf>
    <xf numFmtId="0" fontId="44" fillId="4" borderId="72" xfId="0" applyFont="1" applyFill="1" applyBorder="1"/>
    <xf numFmtId="9" fontId="42" fillId="0" borderId="40" xfId="3" applyFont="1" applyBorder="1" applyAlignment="1">
      <alignment horizontal="right"/>
    </xf>
    <xf numFmtId="41" fontId="42" fillId="0" borderId="40" xfId="0" applyNumberFormat="1" applyFont="1" applyBorder="1" applyAlignment="1">
      <alignment horizontal="right"/>
    </xf>
    <xf numFmtId="166" fontId="42" fillId="5" borderId="73" xfId="0" applyNumberFormat="1" applyFont="1" applyFill="1" applyBorder="1" applyAlignment="1">
      <alignment horizontal="right"/>
    </xf>
    <xf numFmtId="41" fontId="44" fillId="0" borderId="40" xfId="0" applyNumberFormat="1" applyFont="1" applyBorder="1"/>
    <xf numFmtId="166" fontId="42" fillId="5" borderId="74" xfId="0" applyNumberFormat="1" applyFont="1" applyFill="1" applyBorder="1" applyAlignment="1">
      <alignment horizontal="right"/>
    </xf>
    <xf numFmtId="0" fontId="6" fillId="0" borderId="75" xfId="0" applyFont="1" applyBorder="1" applyAlignment="1">
      <alignment horizontal="right"/>
    </xf>
    <xf numFmtId="0" fontId="12" fillId="33" borderId="75" xfId="0" applyFont="1" applyFill="1" applyBorder="1" applyAlignment="1">
      <alignment horizontal="right"/>
    </xf>
    <xf numFmtId="9" fontId="12" fillId="33" borderId="40" xfId="3" applyFont="1" applyFill="1" applyBorder="1" applyAlignment="1">
      <alignment horizontal="right"/>
    </xf>
    <xf numFmtId="41" fontId="12" fillId="33" borderId="40" xfId="0" applyNumberFormat="1" applyFont="1" applyFill="1" applyBorder="1" applyAlignment="1">
      <alignment horizontal="right"/>
    </xf>
    <xf numFmtId="166" fontId="12" fillId="34" borderId="73" xfId="0" applyNumberFormat="1" applyFont="1" applyFill="1" applyBorder="1" applyAlignment="1">
      <alignment horizontal="right"/>
    </xf>
    <xf numFmtId="166" fontId="12" fillId="34" borderId="74" xfId="0" applyNumberFormat="1" applyFont="1" applyFill="1" applyBorder="1" applyAlignment="1">
      <alignment horizontal="right"/>
    </xf>
    <xf numFmtId="0" fontId="38" fillId="36" borderId="42" xfId="0" applyFont="1" applyFill="1" applyBorder="1"/>
    <xf numFmtId="0" fontId="38" fillId="36" borderId="43" xfId="0" applyFont="1" applyFill="1" applyBorder="1" applyAlignment="1">
      <alignment horizontal="center"/>
    </xf>
    <xf numFmtId="0" fontId="38" fillId="36" borderId="44" xfId="0" applyFont="1" applyFill="1" applyBorder="1" applyAlignment="1">
      <alignment horizontal="center"/>
    </xf>
    <xf numFmtId="0" fontId="38" fillId="36" borderId="45" xfId="0" applyFont="1" applyFill="1" applyBorder="1"/>
    <xf numFmtId="0" fontId="38" fillId="36" borderId="19" xfId="0" applyFont="1" applyFill="1" applyBorder="1"/>
    <xf numFmtId="9" fontId="38" fillId="36" borderId="19" xfId="3" applyFont="1" applyFill="1" applyBorder="1"/>
    <xf numFmtId="9" fontId="38" fillId="36" borderId="46" xfId="3" applyFont="1" applyFill="1" applyBorder="1"/>
    <xf numFmtId="0" fontId="38" fillId="36" borderId="39" xfId="0" applyFont="1" applyFill="1" applyBorder="1"/>
    <xf numFmtId="0" fontId="38" fillId="36" borderId="40" xfId="0" applyFont="1" applyFill="1" applyBorder="1"/>
    <xf numFmtId="9" fontId="38" fillId="36" borderId="40" xfId="3" applyFont="1" applyFill="1" applyBorder="1"/>
    <xf numFmtId="9" fontId="38" fillId="36" borderId="41" xfId="3" applyFont="1" applyFill="1" applyBorder="1"/>
    <xf numFmtId="0" fontId="38" fillId="36" borderId="19" xfId="0" applyFont="1" applyFill="1" applyBorder="1" applyAlignment="1">
      <alignment horizontal="center"/>
    </xf>
    <xf numFmtId="0" fontId="38" fillId="36" borderId="46" xfId="0" applyFont="1" applyFill="1" applyBorder="1" applyAlignment="1">
      <alignment horizontal="center"/>
    </xf>
    <xf numFmtId="0" fontId="38" fillId="36" borderId="43" xfId="0" applyFont="1" applyFill="1" applyBorder="1"/>
    <xf numFmtId="9" fontId="38" fillId="36" borderId="43" xfId="3" applyFont="1" applyFill="1" applyBorder="1"/>
    <xf numFmtId="9" fontId="38" fillId="36" borderId="44" xfId="3" applyFont="1" applyFill="1" applyBorder="1"/>
    <xf numFmtId="167" fontId="38" fillId="36" borderId="41" xfId="3" applyNumberFormat="1" applyFont="1" applyFill="1" applyBorder="1"/>
    <xf numFmtId="0" fontId="40" fillId="22" borderId="42" xfId="0" applyFont="1" applyFill="1" applyBorder="1" applyAlignment="1">
      <alignment horizontal="center"/>
    </xf>
    <xf numFmtId="0" fontId="41" fillId="22" borderId="43" xfId="0" applyFont="1" applyFill="1" applyBorder="1" applyAlignment="1">
      <alignment horizontal="right"/>
    </xf>
    <xf numFmtId="0" fontId="40" fillId="22" borderId="43" xfId="0" applyFont="1" applyFill="1" applyBorder="1" applyAlignment="1">
      <alignment horizontal="center"/>
    </xf>
    <xf numFmtId="169" fontId="12" fillId="0" borderId="19" xfId="0" applyNumberFormat="1" applyFont="1" applyBorder="1" applyAlignment="1">
      <alignment horizontal="right"/>
    </xf>
    <xf numFmtId="43" fontId="42" fillId="0" borderId="40" xfId="1" applyFont="1" applyBorder="1" applyAlignment="1">
      <alignment horizontal="right"/>
    </xf>
    <xf numFmtId="44" fontId="13" fillId="0" borderId="19" xfId="0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169" fontId="42" fillId="22" borderId="49" xfId="11" applyNumberFormat="1" applyFont="1" applyFill="1" applyBorder="1" applyAlignment="1">
      <alignment horizontal="right"/>
    </xf>
    <xf numFmtId="0" fontId="28" fillId="30" borderId="49" xfId="8" applyFont="1" applyFill="1" applyBorder="1" applyAlignment="1">
      <alignment vertical="center"/>
    </xf>
    <xf numFmtId="0" fontId="59" fillId="0" borderId="19" xfId="15" applyFont="1" applyAlignment="1">
      <alignment vertical="center"/>
    </xf>
    <xf numFmtId="0" fontId="60" fillId="0" borderId="19" xfId="15" applyFont="1" applyAlignment="1">
      <alignment vertical="center"/>
    </xf>
    <xf numFmtId="0" fontId="10" fillId="0" borderId="19" xfId="15"/>
    <xf numFmtId="0" fontId="61" fillId="37" borderId="34" xfId="15" applyFont="1" applyFill="1" applyBorder="1" applyAlignment="1">
      <alignment vertical="center"/>
    </xf>
    <xf numFmtId="0" fontId="53" fillId="0" borderId="19" xfId="15" applyFont="1" applyAlignment="1">
      <alignment horizontal="right" vertical="center"/>
    </xf>
    <xf numFmtId="171" fontId="58" fillId="0" borderId="37" xfId="15" applyNumberFormat="1" applyFont="1" applyBorder="1" applyAlignment="1">
      <alignment horizontal="center" vertical="center" wrapText="1"/>
    </xf>
    <xf numFmtId="0" fontId="59" fillId="0" borderId="34" xfId="15" applyFont="1" applyBorder="1" applyAlignment="1">
      <alignment horizontal="right" vertical="center"/>
    </xf>
    <xf numFmtId="0" fontId="59" fillId="0" borderId="37" xfId="15" applyFont="1" applyBorder="1" applyAlignment="1">
      <alignment horizontal="right" vertical="center"/>
    </xf>
    <xf numFmtId="0" fontId="13" fillId="0" borderId="19" xfId="16" applyFont="1" applyAlignment="1">
      <alignment horizontal="right" vertical="center"/>
    </xf>
    <xf numFmtId="0" fontId="61" fillId="38" borderId="76" xfId="15" applyFont="1" applyFill="1" applyBorder="1" applyAlignment="1">
      <alignment horizontal="center" vertical="center" wrapText="1"/>
    </xf>
    <xf numFmtId="0" fontId="13" fillId="0" borderId="19" xfId="16" applyFont="1" applyAlignment="1">
      <alignment horizontal="center" vertical="center" wrapText="1"/>
    </xf>
    <xf numFmtId="0" fontId="10" fillId="0" borderId="19" xfId="15" applyAlignment="1">
      <alignment horizontal="center"/>
    </xf>
    <xf numFmtId="0" fontId="53" fillId="38" borderId="78" xfId="15" applyFont="1" applyFill="1" applyBorder="1" applyAlignment="1">
      <alignment horizontal="center" vertical="center" wrapText="1"/>
    </xf>
    <xf numFmtId="0" fontId="59" fillId="0" borderId="78" xfId="15" applyFont="1" applyBorder="1" applyAlignment="1">
      <alignment vertical="center"/>
    </xf>
    <xf numFmtId="3" fontId="59" fillId="0" borderId="41" xfId="15" applyNumberFormat="1" applyFont="1" applyBorder="1" applyAlignment="1">
      <alignment horizontal="right" vertical="center"/>
    </xf>
    <xf numFmtId="0" fontId="59" fillId="0" borderId="41" xfId="15" applyFont="1" applyBorder="1" applyAlignment="1">
      <alignment horizontal="right" vertical="center"/>
    </xf>
    <xf numFmtId="164" fontId="13" fillId="0" borderId="19" xfId="16" applyNumberFormat="1" applyFont="1" applyAlignment="1">
      <alignment horizontal="right" vertical="center"/>
    </xf>
    <xf numFmtId="0" fontId="62" fillId="0" borderId="78" xfId="15" applyFont="1" applyBorder="1" applyAlignment="1">
      <alignment vertical="center"/>
    </xf>
    <xf numFmtId="0" fontId="59" fillId="0" borderId="46" xfId="15" applyFont="1" applyBorder="1" applyAlignment="1">
      <alignment horizontal="right" vertical="center"/>
    </xf>
    <xf numFmtId="0" fontId="59" fillId="0" borderId="40" xfId="15" applyFont="1" applyBorder="1" applyAlignment="1">
      <alignment horizontal="right" vertical="center"/>
    </xf>
    <xf numFmtId="8" fontId="59" fillId="0" borderId="34" xfId="15" applyNumberFormat="1" applyFont="1" applyBorder="1" applyAlignment="1">
      <alignment horizontal="right" vertical="center"/>
    </xf>
    <xf numFmtId="0" fontId="13" fillId="0" borderId="19" xfId="16" applyFont="1" applyAlignment="1">
      <alignment horizontal="left" vertical="center"/>
    </xf>
    <xf numFmtId="0" fontId="59" fillId="0" borderId="78" xfId="15" applyFont="1" applyBorder="1" applyAlignment="1">
      <alignment horizontal="right" vertical="center"/>
    </xf>
    <xf numFmtId="3" fontId="13" fillId="0" borderId="19" xfId="16" applyNumberFormat="1" applyFont="1" applyAlignment="1">
      <alignment horizontal="left" vertical="center"/>
    </xf>
    <xf numFmtId="0" fontId="23" fillId="0" borderId="78" xfId="15" applyFont="1" applyBorder="1" applyAlignment="1">
      <alignment vertical="center"/>
    </xf>
    <xf numFmtId="164" fontId="20" fillId="0" borderId="19" xfId="16" applyNumberFormat="1" applyFont="1" applyAlignment="1">
      <alignment horizontal="right" vertical="center"/>
    </xf>
    <xf numFmtId="44" fontId="59" fillId="0" borderId="41" xfId="15" applyNumberFormat="1" applyFont="1" applyBorder="1" applyAlignment="1">
      <alignment horizontal="right" vertical="center"/>
    </xf>
    <xf numFmtId="8" fontId="59" fillId="0" borderId="41" xfId="15" applyNumberFormat="1" applyFont="1" applyBorder="1" applyAlignment="1">
      <alignment horizontal="right" vertical="center"/>
    </xf>
    <xf numFmtId="0" fontId="23" fillId="23" borderId="78" xfId="15" applyFont="1" applyFill="1" applyBorder="1" applyAlignment="1">
      <alignment vertical="center"/>
    </xf>
    <xf numFmtId="0" fontId="61" fillId="23" borderId="41" xfId="15" applyFont="1" applyFill="1" applyBorder="1" applyAlignment="1">
      <alignment horizontal="center" vertical="center"/>
    </xf>
    <xf numFmtId="0" fontId="63" fillId="22" borderId="78" xfId="15" applyFont="1" applyFill="1" applyBorder="1" applyAlignment="1">
      <alignment vertical="center"/>
    </xf>
    <xf numFmtId="44" fontId="23" fillId="22" borderId="78" xfId="17" applyFont="1" applyFill="1" applyBorder="1" applyAlignment="1">
      <alignment vertical="center"/>
    </xf>
    <xf numFmtId="8" fontId="59" fillId="22" borderId="41" xfId="17" applyNumberFormat="1" applyFont="1" applyFill="1" applyBorder="1" applyAlignment="1">
      <alignment horizontal="right" vertical="center"/>
    </xf>
    <xf numFmtId="44" fontId="59" fillId="22" borderId="41" xfId="17" applyFont="1" applyFill="1" applyBorder="1" applyAlignment="1">
      <alignment horizontal="right" vertical="center"/>
    </xf>
    <xf numFmtId="164" fontId="13" fillId="0" borderId="19" xfId="16" applyNumberFormat="1" applyFont="1" applyAlignment="1">
      <alignment horizontal="center" vertical="center"/>
    </xf>
    <xf numFmtId="3" fontId="59" fillId="0" borderId="19" xfId="15" applyNumberFormat="1" applyFont="1" applyAlignment="1">
      <alignment horizontal="right" vertical="center"/>
    </xf>
    <xf numFmtId="8" fontId="59" fillId="0" borderId="19" xfId="15" applyNumberFormat="1" applyFont="1" applyAlignment="1">
      <alignment horizontal="right" vertical="center"/>
    </xf>
    <xf numFmtId="0" fontId="59" fillId="0" borderId="19" xfId="15" applyFont="1" applyAlignment="1">
      <alignment horizontal="right" vertical="center"/>
    </xf>
    <xf numFmtId="0" fontId="13" fillId="35" borderId="42" xfId="16" applyFont="1" applyFill="1" applyBorder="1" applyAlignment="1">
      <alignment horizontal="right" vertical="center"/>
    </xf>
    <xf numFmtId="0" fontId="13" fillId="35" borderId="43" xfId="16" applyFont="1" applyFill="1" applyBorder="1" applyAlignment="1">
      <alignment horizontal="left" vertical="center"/>
    </xf>
    <xf numFmtId="0" fontId="13" fillId="35" borderId="44" xfId="16" applyFont="1" applyFill="1" applyBorder="1" applyAlignment="1">
      <alignment horizontal="right" vertical="center"/>
    </xf>
    <xf numFmtId="0" fontId="33" fillId="35" borderId="45" xfId="16" applyFont="1" applyFill="1" applyBorder="1" applyAlignment="1">
      <alignment horizontal="right" vertical="center"/>
    </xf>
    <xf numFmtId="0" fontId="34" fillId="35" borderId="19" xfId="16" applyFont="1" applyFill="1" applyAlignment="1">
      <alignment horizontal="left" vertical="center"/>
    </xf>
    <xf numFmtId="44" fontId="34" fillId="35" borderId="19" xfId="17" applyFont="1" applyFill="1" applyBorder="1" applyAlignment="1">
      <alignment horizontal="left" vertical="center"/>
    </xf>
    <xf numFmtId="0" fontId="13" fillId="35" borderId="46" xfId="16" applyFont="1" applyFill="1" applyBorder="1" applyAlignment="1">
      <alignment horizontal="right" vertical="center"/>
    </xf>
    <xf numFmtId="0" fontId="25" fillId="35" borderId="45" xfId="16" applyFont="1" applyFill="1" applyBorder="1" applyAlignment="1">
      <alignment horizontal="right" vertical="center"/>
    </xf>
    <xf numFmtId="44" fontId="13" fillId="35" borderId="19" xfId="17" applyFont="1" applyFill="1" applyBorder="1" applyAlignment="1">
      <alignment horizontal="left" vertical="center"/>
    </xf>
    <xf numFmtId="9" fontId="13" fillId="35" borderId="19" xfId="18" applyFont="1" applyFill="1" applyBorder="1" applyAlignment="1">
      <alignment horizontal="center" vertical="center"/>
    </xf>
    <xf numFmtId="44" fontId="13" fillId="35" borderId="48" xfId="17" applyFont="1" applyFill="1" applyBorder="1" applyAlignment="1">
      <alignment horizontal="left" vertical="center"/>
    </xf>
    <xf numFmtId="44" fontId="13" fillId="35" borderId="46" xfId="16" applyNumberFormat="1" applyFont="1" applyFill="1" applyBorder="1" applyAlignment="1">
      <alignment horizontal="right" vertical="center"/>
    </xf>
    <xf numFmtId="0" fontId="25" fillId="35" borderId="19" xfId="16" applyFont="1" applyFill="1" applyAlignment="1">
      <alignment horizontal="left" vertical="center"/>
    </xf>
    <xf numFmtId="44" fontId="25" fillId="35" borderId="38" xfId="17" applyFont="1" applyFill="1" applyBorder="1" applyAlignment="1">
      <alignment horizontal="left" vertical="center"/>
    </xf>
    <xf numFmtId="0" fontId="13" fillId="35" borderId="39" xfId="16" applyFont="1" applyFill="1" applyBorder="1" applyAlignment="1">
      <alignment horizontal="right" vertical="center"/>
    </xf>
    <xf numFmtId="0" fontId="13" fillId="35" borderId="40" xfId="16" applyFont="1" applyFill="1" applyBorder="1" applyAlignment="1">
      <alignment horizontal="left" vertical="center"/>
    </xf>
    <xf numFmtId="0" fontId="13" fillId="35" borderId="41" xfId="16" applyFont="1" applyFill="1" applyBorder="1" applyAlignment="1">
      <alignment horizontal="right" vertical="center"/>
    </xf>
    <xf numFmtId="0" fontId="6" fillId="0" borderId="43" xfId="15" applyFont="1" applyBorder="1"/>
    <xf numFmtId="168" fontId="6" fillId="0" borderId="43" xfId="15" applyNumberFormat="1" applyFont="1" applyBorder="1" applyAlignment="1">
      <alignment horizontal="center"/>
    </xf>
    <xf numFmtId="0" fontId="44" fillId="0" borderId="43" xfId="15" applyFont="1" applyBorder="1"/>
    <xf numFmtId="0" fontId="44" fillId="0" borderId="44" xfId="15" applyFont="1" applyBorder="1"/>
    <xf numFmtId="0" fontId="6" fillId="3" borderId="13" xfId="15" applyFont="1" applyFill="1" applyBorder="1"/>
    <xf numFmtId="17" fontId="31" fillId="3" borderId="13" xfId="15" applyNumberFormat="1" applyFont="1" applyFill="1" applyBorder="1" applyAlignment="1">
      <alignment horizontal="center"/>
    </xf>
    <xf numFmtId="17" fontId="31" fillId="3" borderId="14" xfId="15" applyNumberFormat="1" applyFont="1" applyFill="1" applyBorder="1" applyAlignment="1">
      <alignment horizontal="center"/>
    </xf>
    <xf numFmtId="0" fontId="47" fillId="3" borderId="14" xfId="15" applyFont="1" applyFill="1" applyBorder="1" applyAlignment="1">
      <alignment horizontal="center"/>
    </xf>
    <xf numFmtId="17" fontId="47" fillId="3" borderId="13" xfId="15" applyNumberFormat="1" applyFont="1" applyFill="1" applyBorder="1" applyAlignment="1">
      <alignment horizontal="center"/>
    </xf>
    <xf numFmtId="0" fontId="47" fillId="3" borderId="72" xfId="15" applyFont="1" applyFill="1" applyBorder="1" applyAlignment="1">
      <alignment horizontal="center"/>
    </xf>
    <xf numFmtId="0" fontId="31" fillId="4" borderId="13" xfId="15" applyFont="1" applyFill="1" applyBorder="1" applyAlignment="1">
      <alignment horizontal="right"/>
    </xf>
    <xf numFmtId="0" fontId="6" fillId="4" borderId="13" xfId="15" applyFont="1" applyFill="1" applyBorder="1"/>
    <xf numFmtId="0" fontId="6" fillId="4" borderId="14" xfId="15" applyFont="1" applyFill="1" applyBorder="1"/>
    <xf numFmtId="0" fontId="44" fillId="4" borderId="13" xfId="15" applyFont="1" applyFill="1" applyBorder="1"/>
    <xf numFmtId="0" fontId="44" fillId="4" borderId="14" xfId="15" applyFont="1" applyFill="1" applyBorder="1"/>
    <xf numFmtId="0" fontId="44" fillId="4" borderId="72" xfId="15" applyFont="1" applyFill="1" applyBorder="1"/>
    <xf numFmtId="0" fontId="6" fillId="0" borderId="75" xfId="15" applyFont="1" applyBorder="1" applyAlignment="1">
      <alignment horizontal="right"/>
    </xf>
    <xf numFmtId="9" fontId="6" fillId="0" borderId="40" xfId="18" applyFont="1" applyBorder="1" applyAlignment="1">
      <alignment horizontal="right"/>
    </xf>
    <xf numFmtId="41" fontId="6" fillId="0" borderId="40" xfId="15" applyNumberFormat="1" applyFont="1" applyBorder="1" applyAlignment="1">
      <alignment horizontal="right"/>
    </xf>
    <xf numFmtId="43" fontId="6" fillId="0" borderId="40" xfId="19" applyFont="1" applyBorder="1" applyAlignment="1">
      <alignment horizontal="right"/>
    </xf>
    <xf numFmtId="166" fontId="6" fillId="5" borderId="73" xfId="15" applyNumberFormat="1" applyFont="1" applyFill="1" applyBorder="1" applyAlignment="1">
      <alignment horizontal="right"/>
    </xf>
    <xf numFmtId="41" fontId="44" fillId="0" borderId="40" xfId="15" applyNumberFormat="1" applyFont="1" applyBorder="1"/>
    <xf numFmtId="166" fontId="6" fillId="5" borderId="74" xfId="15" applyNumberFormat="1" applyFont="1" applyFill="1" applyBorder="1" applyAlignment="1">
      <alignment horizontal="right"/>
    </xf>
    <xf numFmtId="0" fontId="12" fillId="33" borderId="75" xfId="15" applyFont="1" applyFill="1" applyBorder="1" applyAlignment="1">
      <alignment horizontal="right"/>
    </xf>
    <xf numFmtId="9" fontId="12" fillId="33" borderId="40" xfId="18" applyFont="1" applyFill="1" applyBorder="1" applyAlignment="1">
      <alignment horizontal="right"/>
    </xf>
    <xf numFmtId="41" fontId="12" fillId="33" borderId="40" xfId="15" applyNumberFormat="1" applyFont="1" applyFill="1" applyBorder="1" applyAlignment="1">
      <alignment horizontal="right"/>
    </xf>
    <xf numFmtId="166" fontId="12" fillId="34" borderId="73" xfId="15" applyNumberFormat="1" applyFont="1" applyFill="1" applyBorder="1" applyAlignment="1">
      <alignment horizontal="right"/>
    </xf>
    <xf numFmtId="166" fontId="12" fillId="34" borderId="74" xfId="15" applyNumberFormat="1" applyFont="1" applyFill="1" applyBorder="1" applyAlignment="1">
      <alignment horizontal="right"/>
    </xf>
    <xf numFmtId="0" fontId="38" fillId="0" borderId="19" xfId="15" applyFont="1"/>
    <xf numFmtId="4" fontId="13" fillId="0" borderId="19" xfId="16" applyNumberFormat="1" applyFont="1" applyAlignment="1">
      <alignment horizontal="left" vertical="center"/>
    </xf>
    <xf numFmtId="9" fontId="6" fillId="0" borderId="40" xfId="18" applyFont="1" applyFill="1" applyBorder="1" applyAlignment="1">
      <alignment horizontal="right"/>
    </xf>
    <xf numFmtId="0" fontId="46" fillId="0" borderId="19" xfId="0" applyFont="1" applyBorder="1" applyAlignment="1">
      <alignment horizontal="right"/>
    </xf>
    <xf numFmtId="0" fontId="42" fillId="0" borderId="18" xfId="0" applyFont="1" applyBorder="1"/>
    <xf numFmtId="0" fontId="44" fillId="0" borderId="18" xfId="0" applyFont="1" applyBorder="1"/>
    <xf numFmtId="0" fontId="64" fillId="0" borderId="19" xfId="0" applyFont="1" applyBorder="1" applyAlignment="1">
      <alignment horizontal="left"/>
    </xf>
    <xf numFmtId="0" fontId="12" fillId="24" borderId="49" xfId="8" applyFont="1" applyFill="1" applyBorder="1"/>
    <xf numFmtId="0" fontId="6" fillId="0" borderId="49" xfId="8" applyFont="1" applyBorder="1"/>
    <xf numFmtId="0" fontId="66" fillId="40" borderId="19" xfId="20" applyFont="1" applyFill="1"/>
    <xf numFmtId="0" fontId="67" fillId="42" borderId="14" xfId="20" applyFont="1" applyFill="1" applyBorder="1"/>
    <xf numFmtId="0" fontId="67" fillId="11" borderId="14" xfId="20" applyFont="1" applyFill="1" applyBorder="1"/>
    <xf numFmtId="0" fontId="67" fillId="43" borderId="14" xfId="20" applyFont="1" applyFill="1" applyBorder="1"/>
    <xf numFmtId="0" fontId="70" fillId="42" borderId="14" xfId="20" applyFont="1" applyFill="1" applyBorder="1"/>
    <xf numFmtId="0" fontId="73" fillId="45" borderId="14" xfId="20" applyFont="1" applyFill="1" applyBorder="1"/>
    <xf numFmtId="0" fontId="73" fillId="11" borderId="14" xfId="20" applyFont="1" applyFill="1" applyBorder="1"/>
    <xf numFmtId="0" fontId="66" fillId="40" borderId="21" xfId="20" applyFont="1" applyFill="1" applyBorder="1"/>
    <xf numFmtId="0" fontId="71" fillId="40" borderId="21" xfId="20" applyFont="1" applyFill="1" applyBorder="1"/>
    <xf numFmtId="0" fontId="72" fillId="44" borderId="21" xfId="20" applyFont="1" applyFill="1" applyBorder="1"/>
    <xf numFmtId="0" fontId="76" fillId="42" borderId="14" xfId="20" applyFont="1" applyFill="1" applyBorder="1"/>
    <xf numFmtId="0" fontId="77" fillId="49" borderId="14" xfId="20" applyFont="1" applyFill="1" applyBorder="1"/>
    <xf numFmtId="0" fontId="78" fillId="49" borderId="14" xfId="20" applyFont="1" applyFill="1" applyBorder="1"/>
    <xf numFmtId="0" fontId="76" fillId="46" borderId="21" xfId="20" applyFont="1" applyFill="1" applyBorder="1"/>
    <xf numFmtId="0" fontId="76" fillId="47" borderId="21" xfId="20" applyFont="1" applyFill="1" applyBorder="1"/>
    <xf numFmtId="0" fontId="77" fillId="48" borderId="21" xfId="20" applyFont="1" applyFill="1" applyBorder="1"/>
    <xf numFmtId="0" fontId="68" fillId="41" borderId="79" xfId="20" applyFont="1" applyFill="1" applyBorder="1"/>
    <xf numFmtId="0" fontId="68" fillId="41" borderId="80" xfId="20" applyFont="1" applyFill="1" applyBorder="1"/>
    <xf numFmtId="0" fontId="66" fillId="40" borderId="45" xfId="20" applyFont="1" applyFill="1" applyBorder="1"/>
    <xf numFmtId="0" fontId="76" fillId="46" borderId="82" xfId="20" applyFont="1" applyFill="1" applyBorder="1"/>
    <xf numFmtId="0" fontId="76" fillId="47" borderId="82" xfId="20" applyFont="1" applyFill="1" applyBorder="1"/>
    <xf numFmtId="0" fontId="77" fillId="48" borderId="82" xfId="20" applyFont="1" applyFill="1" applyBorder="1"/>
    <xf numFmtId="0" fontId="78" fillId="47" borderId="82" xfId="20" applyFont="1" applyFill="1" applyBorder="1"/>
    <xf numFmtId="0" fontId="69" fillId="40" borderId="82" xfId="20" applyFont="1" applyFill="1" applyBorder="1"/>
    <xf numFmtId="0" fontId="74" fillId="44" borderId="82" xfId="20" applyFont="1" applyFill="1" applyBorder="1"/>
    <xf numFmtId="0" fontId="75" fillId="40" borderId="82" xfId="20" applyFont="1" applyFill="1" applyBorder="1"/>
    <xf numFmtId="0" fontId="79" fillId="40" borderId="82" xfId="20" applyFont="1" applyFill="1" applyBorder="1"/>
    <xf numFmtId="0" fontId="80" fillId="40" borderId="82" xfId="20" applyFont="1" applyFill="1" applyBorder="1"/>
    <xf numFmtId="0" fontId="81" fillId="44" borderId="82" xfId="20" applyFont="1" applyFill="1" applyBorder="1"/>
    <xf numFmtId="0" fontId="38" fillId="0" borderId="19" xfId="0" applyFont="1" applyBorder="1"/>
    <xf numFmtId="9" fontId="38" fillId="0" borderId="19" xfId="3" applyFont="1" applyFill="1" applyBorder="1"/>
    <xf numFmtId="0" fontId="6" fillId="50" borderId="35" xfId="15" applyFont="1" applyFill="1" applyBorder="1" applyAlignment="1">
      <alignment horizontal="right"/>
    </xf>
    <xf numFmtId="9" fontId="6" fillId="50" borderId="36" xfId="18" applyFont="1" applyFill="1" applyBorder="1" applyAlignment="1">
      <alignment horizontal="right"/>
    </xf>
    <xf numFmtId="41" fontId="6" fillId="50" borderId="36" xfId="15" applyNumberFormat="1" applyFont="1" applyFill="1" applyBorder="1" applyAlignment="1">
      <alignment horizontal="right"/>
    </xf>
    <xf numFmtId="166" fontId="6" fillId="51" borderId="83" xfId="15" applyNumberFormat="1" applyFont="1" applyFill="1" applyBorder="1" applyAlignment="1">
      <alignment horizontal="right"/>
    </xf>
    <xf numFmtId="166" fontId="6" fillId="51" borderId="84" xfId="15" applyNumberFormat="1" applyFont="1" applyFill="1" applyBorder="1" applyAlignment="1">
      <alignment horizontal="right"/>
    </xf>
    <xf numFmtId="0" fontId="10" fillId="52" borderId="36" xfId="15" applyFill="1" applyBorder="1"/>
    <xf numFmtId="41" fontId="10" fillId="52" borderId="36" xfId="15" applyNumberFormat="1" applyFill="1" applyBorder="1"/>
    <xf numFmtId="41" fontId="10" fillId="52" borderId="37" xfId="15" applyNumberFormat="1" applyFill="1" applyBorder="1"/>
    <xf numFmtId="0" fontId="1" fillId="52" borderId="35" xfId="15" applyFont="1" applyFill="1" applyBorder="1" applyAlignment="1">
      <alignment horizontal="right"/>
    </xf>
    <xf numFmtId="0" fontId="59" fillId="0" borderId="19" xfId="21" applyFont="1" applyAlignment="1">
      <alignment vertical="center"/>
    </xf>
    <xf numFmtId="0" fontId="60" fillId="0" borderId="19" xfId="21" applyFont="1" applyAlignment="1">
      <alignment vertical="center"/>
    </xf>
    <xf numFmtId="0" fontId="1" fillId="0" borderId="19" xfId="21"/>
    <xf numFmtId="17" fontId="61" fillId="37" borderId="34" xfId="21" applyNumberFormat="1" applyFont="1" applyFill="1" applyBorder="1" applyAlignment="1">
      <alignment vertical="center"/>
    </xf>
    <xf numFmtId="171" fontId="58" fillId="0" borderId="37" xfId="21" applyNumberFormat="1" applyFont="1" applyBorder="1" applyAlignment="1">
      <alignment horizontal="center" vertical="center" wrapText="1"/>
    </xf>
    <xf numFmtId="0" fontId="53" fillId="0" borderId="19" xfId="21" applyFont="1" applyAlignment="1">
      <alignment horizontal="right" vertical="center"/>
    </xf>
    <xf numFmtId="0" fontId="61" fillId="37" borderId="34" xfId="21" applyFont="1" applyFill="1" applyBorder="1" applyAlignment="1">
      <alignment vertical="center"/>
    </xf>
    <xf numFmtId="0" fontId="59" fillId="0" borderId="34" xfId="21" applyFont="1" applyBorder="1" applyAlignment="1">
      <alignment horizontal="right" vertical="center"/>
    </xf>
    <xf numFmtId="0" fontId="59" fillId="0" borderId="37" xfId="21" applyFont="1" applyBorder="1" applyAlignment="1">
      <alignment horizontal="right" vertical="center"/>
    </xf>
    <xf numFmtId="0" fontId="61" fillId="38" borderId="76" xfId="21" applyFont="1" applyFill="1" applyBorder="1" applyAlignment="1">
      <alignment horizontal="center" vertical="center" wrapText="1"/>
    </xf>
    <xf numFmtId="0" fontId="1" fillId="0" borderId="19" xfId="21" applyAlignment="1">
      <alignment horizontal="center"/>
    </xf>
    <xf numFmtId="0" fontId="53" fillId="38" borderId="78" xfId="21" applyFont="1" applyFill="1" applyBorder="1" applyAlignment="1">
      <alignment horizontal="center" vertical="center" wrapText="1"/>
    </xf>
    <xf numFmtId="0" fontId="59" fillId="0" borderId="78" xfId="21" applyFont="1" applyBorder="1" applyAlignment="1">
      <alignment vertical="center"/>
    </xf>
    <xf numFmtId="3" fontId="59" fillId="0" borderId="41" xfId="21" applyNumberFormat="1" applyFont="1" applyBorder="1" applyAlignment="1">
      <alignment horizontal="right" vertical="center"/>
    </xf>
    <xf numFmtId="0" fontId="59" fillId="0" borderId="41" xfId="21" applyFont="1" applyBorder="1" applyAlignment="1">
      <alignment horizontal="right" vertical="center"/>
    </xf>
    <xf numFmtId="0" fontId="62" fillId="0" borderId="78" xfId="21" applyFont="1" applyBorder="1" applyAlignment="1">
      <alignment vertical="center"/>
    </xf>
    <xf numFmtId="0" fontId="59" fillId="0" borderId="46" xfId="21" applyFont="1" applyBorder="1" applyAlignment="1">
      <alignment horizontal="right" vertical="center"/>
    </xf>
    <xf numFmtId="0" fontId="59" fillId="0" borderId="40" xfId="21" applyFont="1" applyBorder="1" applyAlignment="1">
      <alignment horizontal="right" vertical="center"/>
    </xf>
    <xf numFmtId="8" fontId="59" fillId="0" borderId="34" xfId="21" applyNumberFormat="1" applyFont="1" applyBorder="1" applyAlignment="1">
      <alignment horizontal="right" vertical="center"/>
    </xf>
    <xf numFmtId="0" fontId="59" fillId="0" borderId="78" xfId="21" applyFont="1" applyBorder="1" applyAlignment="1">
      <alignment horizontal="right" vertical="center"/>
    </xf>
    <xf numFmtId="0" fontId="23" fillId="0" borderId="78" xfId="21" applyFont="1" applyBorder="1" applyAlignment="1">
      <alignment vertical="center"/>
    </xf>
    <xf numFmtId="44" fontId="59" fillId="0" borderId="41" xfId="21" applyNumberFormat="1" applyFont="1" applyBorder="1" applyAlignment="1">
      <alignment horizontal="right" vertical="center"/>
    </xf>
    <xf numFmtId="8" fontId="59" fillId="0" borderId="41" xfId="21" applyNumberFormat="1" applyFont="1" applyBorder="1" applyAlignment="1">
      <alignment horizontal="right" vertical="center"/>
    </xf>
    <xf numFmtId="0" fontId="23" fillId="23" borderId="78" xfId="21" applyFont="1" applyFill="1" applyBorder="1" applyAlignment="1">
      <alignment vertical="center"/>
    </xf>
    <xf numFmtId="0" fontId="61" fillId="23" borderId="41" xfId="21" applyFont="1" applyFill="1" applyBorder="1" applyAlignment="1">
      <alignment horizontal="center" vertical="center"/>
    </xf>
    <xf numFmtId="0" fontId="63" fillId="22" borderId="78" xfId="21" applyFont="1" applyFill="1" applyBorder="1" applyAlignment="1">
      <alignment vertical="center"/>
    </xf>
    <xf numFmtId="44" fontId="23" fillId="22" borderId="78" xfId="22" applyFont="1" applyFill="1" applyBorder="1" applyAlignment="1">
      <alignment vertical="center"/>
    </xf>
    <xf numFmtId="8" fontId="59" fillId="22" borderId="41" xfId="22" applyNumberFormat="1" applyFont="1" applyFill="1" applyBorder="1" applyAlignment="1">
      <alignment horizontal="right" vertical="center"/>
    </xf>
    <xf numFmtId="44" fontId="59" fillId="22" borderId="41" xfId="22" applyFont="1" applyFill="1" applyBorder="1" applyAlignment="1">
      <alignment horizontal="right" vertical="center"/>
    </xf>
    <xf numFmtId="3" fontId="59" fillId="0" borderId="19" xfId="21" applyNumberFormat="1" applyFont="1" applyAlignment="1">
      <alignment horizontal="right" vertical="center"/>
    </xf>
    <xf numFmtId="8" fontId="59" fillId="0" borderId="19" xfId="21" applyNumberFormat="1" applyFont="1" applyAlignment="1">
      <alignment horizontal="right" vertical="center"/>
    </xf>
    <xf numFmtId="0" fontId="59" fillId="0" borderId="19" xfId="21" applyFont="1" applyAlignment="1">
      <alignment horizontal="right" vertical="center"/>
    </xf>
    <xf numFmtId="44" fontId="34" fillId="35" borderId="19" xfId="22" applyFont="1" applyFill="1" applyBorder="1" applyAlignment="1">
      <alignment horizontal="left" vertical="center"/>
    </xf>
    <xf numFmtId="9" fontId="13" fillId="35" borderId="19" xfId="23" applyFont="1" applyFill="1" applyBorder="1" applyAlignment="1">
      <alignment horizontal="center" vertical="center"/>
    </xf>
    <xf numFmtId="44" fontId="13" fillId="35" borderId="19" xfId="22" applyFont="1" applyFill="1" applyBorder="1" applyAlignment="1">
      <alignment horizontal="left" vertical="center"/>
    </xf>
    <xf numFmtId="44" fontId="13" fillId="35" borderId="48" xfId="22" applyFont="1" applyFill="1" applyBorder="1" applyAlignment="1">
      <alignment horizontal="left" vertical="center"/>
    </xf>
    <xf numFmtId="44" fontId="25" fillId="35" borderId="38" xfId="22" applyFont="1" applyFill="1" applyBorder="1" applyAlignment="1">
      <alignment horizontal="left" vertical="center"/>
    </xf>
    <xf numFmtId="0" fontId="6" fillId="0" borderId="43" xfId="21" applyFont="1" applyBorder="1"/>
    <xf numFmtId="168" fontId="6" fillId="0" borderId="43" xfId="21" applyNumberFormat="1" applyFont="1" applyBorder="1" applyAlignment="1">
      <alignment horizontal="center"/>
    </xf>
    <xf numFmtId="0" fontId="44" fillId="0" borderId="43" xfId="21" applyFont="1" applyBorder="1"/>
    <xf numFmtId="0" fontId="44" fillId="0" borderId="44" xfId="21" applyFont="1" applyBorder="1"/>
    <xf numFmtId="0" fontId="6" fillId="3" borderId="13" xfId="21" applyFont="1" applyFill="1" applyBorder="1"/>
    <xf numFmtId="17" fontId="31" fillId="3" borderId="13" xfId="21" applyNumberFormat="1" applyFont="1" applyFill="1" applyBorder="1" applyAlignment="1">
      <alignment horizontal="center"/>
    </xf>
    <xf numFmtId="17" fontId="31" fillId="3" borderId="14" xfId="21" applyNumberFormat="1" applyFont="1" applyFill="1" applyBorder="1" applyAlignment="1">
      <alignment horizontal="center"/>
    </xf>
    <xf numFmtId="0" fontId="47" fillId="3" borderId="14" xfId="21" applyFont="1" applyFill="1" applyBorder="1" applyAlignment="1">
      <alignment horizontal="center"/>
    </xf>
    <xf numFmtId="17" fontId="47" fillId="3" borderId="13" xfId="21" applyNumberFormat="1" applyFont="1" applyFill="1" applyBorder="1" applyAlignment="1">
      <alignment horizontal="center"/>
    </xf>
    <xf numFmtId="0" fontId="47" fillId="3" borderId="72" xfId="21" applyFont="1" applyFill="1" applyBorder="1" applyAlignment="1">
      <alignment horizontal="center"/>
    </xf>
    <xf numFmtId="0" fontId="31" fillId="4" borderId="13" xfId="21" applyFont="1" applyFill="1" applyBorder="1" applyAlignment="1">
      <alignment horizontal="right"/>
    </xf>
    <xf numFmtId="0" fontId="6" fillId="4" borderId="13" xfId="21" applyFont="1" applyFill="1" applyBorder="1"/>
    <xf numFmtId="0" fontId="6" fillId="4" borderId="14" xfId="21" applyFont="1" applyFill="1" applyBorder="1"/>
    <xf numFmtId="0" fontId="44" fillId="4" borderId="13" xfId="21" applyFont="1" applyFill="1" applyBorder="1"/>
    <xf numFmtId="0" fontId="44" fillId="4" borderId="14" xfId="21" applyFont="1" applyFill="1" applyBorder="1"/>
    <xf numFmtId="0" fontId="44" fillId="4" borderId="72" xfId="21" applyFont="1" applyFill="1" applyBorder="1"/>
    <xf numFmtId="0" fontId="6" fillId="0" borderId="75" xfId="21" applyFont="1" applyBorder="1" applyAlignment="1">
      <alignment horizontal="right"/>
    </xf>
    <xf numFmtId="9" fontId="6" fillId="0" borderId="40" xfId="23" applyFont="1" applyBorder="1" applyAlignment="1">
      <alignment horizontal="right"/>
    </xf>
    <xf numFmtId="41" fontId="6" fillId="0" borderId="40" xfId="21" applyNumberFormat="1" applyFont="1" applyBorder="1" applyAlignment="1">
      <alignment horizontal="right"/>
    </xf>
    <xf numFmtId="43" fontId="6" fillId="0" borderId="40" xfId="24" applyFont="1" applyBorder="1" applyAlignment="1">
      <alignment horizontal="right"/>
    </xf>
    <xf numFmtId="166" fontId="6" fillId="5" borderId="73" xfId="21" applyNumberFormat="1" applyFont="1" applyFill="1" applyBorder="1" applyAlignment="1">
      <alignment horizontal="right"/>
    </xf>
    <xf numFmtId="41" fontId="44" fillId="0" borderId="40" xfId="21" applyNumberFormat="1" applyFont="1" applyBorder="1"/>
    <xf numFmtId="166" fontId="6" fillId="5" borderId="74" xfId="21" applyNumberFormat="1" applyFont="1" applyFill="1" applyBorder="1" applyAlignment="1">
      <alignment horizontal="right"/>
    </xf>
    <xf numFmtId="9" fontId="6" fillId="0" borderId="40" xfId="23" applyFont="1" applyFill="1" applyBorder="1" applyAlignment="1">
      <alignment horizontal="right"/>
    </xf>
    <xf numFmtId="0" fontId="12" fillId="33" borderId="75" xfId="21" applyFont="1" applyFill="1" applyBorder="1" applyAlignment="1">
      <alignment horizontal="right"/>
    </xf>
    <xf numFmtId="9" fontId="12" fillId="33" borderId="40" xfId="23" applyFont="1" applyFill="1" applyBorder="1" applyAlignment="1">
      <alignment horizontal="right"/>
    </xf>
    <xf numFmtId="41" fontId="12" fillId="33" borderId="40" xfId="21" applyNumberFormat="1" applyFont="1" applyFill="1" applyBorder="1" applyAlignment="1">
      <alignment horizontal="right"/>
    </xf>
    <xf numFmtId="166" fontId="12" fillId="34" borderId="73" xfId="21" applyNumberFormat="1" applyFont="1" applyFill="1" applyBorder="1" applyAlignment="1">
      <alignment horizontal="right"/>
    </xf>
    <xf numFmtId="166" fontId="12" fillId="34" borderId="74" xfId="21" applyNumberFormat="1" applyFont="1" applyFill="1" applyBorder="1" applyAlignment="1">
      <alignment horizontal="right"/>
    </xf>
    <xf numFmtId="0" fontId="38" fillId="0" borderId="19" xfId="21" applyFont="1"/>
    <xf numFmtId="0" fontId="38" fillId="23" borderId="42" xfId="0" applyFont="1" applyFill="1" applyBorder="1"/>
    <xf numFmtId="0" fontId="38" fillId="23" borderId="43" xfId="0" applyFont="1" applyFill="1" applyBorder="1"/>
    <xf numFmtId="0" fontId="38" fillId="23" borderId="44" xfId="0" applyFont="1" applyFill="1" applyBorder="1"/>
    <xf numFmtId="9" fontId="38" fillId="36" borderId="19" xfId="23" applyFont="1" applyFill="1" applyBorder="1"/>
    <xf numFmtId="9" fontId="38" fillId="36" borderId="46" xfId="23" applyFont="1" applyFill="1" applyBorder="1"/>
    <xf numFmtId="9" fontId="38" fillId="36" borderId="40" xfId="23" applyFont="1" applyFill="1" applyBorder="1"/>
    <xf numFmtId="9" fontId="38" fillId="36" borderId="41" xfId="23" applyFont="1" applyFill="1" applyBorder="1"/>
    <xf numFmtId="0" fontId="25" fillId="0" borderId="19" xfId="16" applyFont="1" applyAlignment="1">
      <alignment horizontal="center" vertical="center"/>
    </xf>
    <xf numFmtId="0" fontId="38" fillId="23" borderId="42" xfId="16" applyFont="1" applyFill="1" applyBorder="1"/>
    <xf numFmtId="0" fontId="38" fillId="23" borderId="43" xfId="16" applyFont="1" applyFill="1" applyBorder="1"/>
    <xf numFmtId="0" fontId="38" fillId="23" borderId="44" xfId="16" applyFont="1" applyFill="1" applyBorder="1"/>
    <xf numFmtId="44" fontId="13" fillId="0" borderId="19" xfId="16" applyNumberFormat="1" applyFont="1" applyAlignment="1">
      <alignment horizontal="left" vertical="center"/>
    </xf>
    <xf numFmtId="166" fontId="13" fillId="0" borderId="19" xfId="24" applyNumberFormat="1" applyFont="1" applyFill="1" applyBorder="1" applyAlignment="1">
      <alignment horizontal="right" vertical="center"/>
    </xf>
    <xf numFmtId="166" fontId="13" fillId="0" borderId="19" xfId="24" applyNumberFormat="1" applyFont="1" applyFill="1" applyBorder="1" applyAlignment="1">
      <alignment horizontal="left" vertical="center"/>
    </xf>
    <xf numFmtId="0" fontId="38" fillId="36" borderId="42" xfId="16" applyFont="1" applyFill="1" applyBorder="1"/>
    <xf numFmtId="0" fontId="38" fillId="36" borderId="43" xfId="16" applyFont="1" applyFill="1" applyBorder="1" applyAlignment="1">
      <alignment horizontal="center"/>
    </xf>
    <xf numFmtId="0" fontId="38" fillId="36" borderId="44" xfId="16" applyFont="1" applyFill="1" applyBorder="1" applyAlignment="1">
      <alignment horizontal="center"/>
    </xf>
    <xf numFmtId="0" fontId="38" fillId="36" borderId="45" xfId="16" applyFont="1" applyFill="1" applyBorder="1"/>
    <xf numFmtId="0" fontId="38" fillId="36" borderId="19" xfId="16" applyFont="1" applyFill="1"/>
    <xf numFmtId="0" fontId="38" fillId="36" borderId="19" xfId="16" applyFont="1" applyFill="1" applyAlignment="1">
      <alignment horizontal="center"/>
    </xf>
    <xf numFmtId="0" fontId="38" fillId="36" borderId="46" xfId="16" applyFont="1" applyFill="1" applyBorder="1" applyAlignment="1">
      <alignment horizontal="center"/>
    </xf>
    <xf numFmtId="0" fontId="38" fillId="36" borderId="39" xfId="16" applyFont="1" applyFill="1" applyBorder="1"/>
    <xf numFmtId="0" fontId="38" fillId="36" borderId="40" xfId="16" applyFont="1" applyFill="1" applyBorder="1"/>
    <xf numFmtId="0" fontId="20" fillId="0" borderId="19" xfId="16" applyFont="1" applyAlignment="1">
      <alignment horizontal="right" vertical="center"/>
    </xf>
    <xf numFmtId="0" fontId="82" fillId="0" borderId="19" xfId="13" applyFont="1" applyFill="1" applyBorder="1" applyAlignment="1">
      <alignment horizontal="center" vertical="center"/>
    </xf>
    <xf numFmtId="0" fontId="13" fillId="29" borderId="45" xfId="16" applyFont="1" applyFill="1" applyBorder="1" applyAlignment="1">
      <alignment horizontal="left" vertical="center"/>
    </xf>
    <xf numFmtId="0" fontId="20" fillId="29" borderId="19" xfId="16" applyFont="1" applyFill="1" applyAlignment="1">
      <alignment horizontal="right" vertical="center"/>
    </xf>
    <xf numFmtId="0" fontId="13" fillId="29" borderId="19" xfId="16" applyFont="1" applyFill="1" applyAlignment="1">
      <alignment horizontal="left" vertical="center"/>
    </xf>
    <xf numFmtId="44" fontId="13" fillId="29" borderId="19" xfId="16" applyNumberFormat="1" applyFont="1" applyFill="1" applyAlignment="1">
      <alignment horizontal="left" vertical="center"/>
    </xf>
    <xf numFmtId="166" fontId="20" fillId="29" borderId="19" xfId="24" applyNumberFormat="1" applyFont="1" applyFill="1" applyBorder="1" applyAlignment="1">
      <alignment horizontal="right" vertical="center"/>
    </xf>
    <xf numFmtId="166" fontId="13" fillId="29" borderId="19" xfId="24" applyNumberFormat="1" applyFont="1" applyFill="1" applyBorder="1" applyAlignment="1">
      <alignment horizontal="left" vertical="center"/>
    </xf>
    <xf numFmtId="166" fontId="13" fillId="29" borderId="46" xfId="24" applyNumberFormat="1" applyFont="1" applyFill="1" applyBorder="1" applyAlignment="1">
      <alignment horizontal="left" vertical="center"/>
    </xf>
    <xf numFmtId="17" fontId="13" fillId="29" borderId="19" xfId="16" applyNumberFormat="1" applyFont="1" applyFill="1" applyAlignment="1">
      <alignment horizontal="left" vertical="center"/>
    </xf>
    <xf numFmtId="171" fontId="58" fillId="29" borderId="19" xfId="16" applyNumberFormat="1" applyFont="1" applyFill="1" applyAlignment="1">
      <alignment horizontal="left" vertical="center"/>
    </xf>
    <xf numFmtId="166" fontId="58" fillId="29" borderId="19" xfId="24" applyNumberFormat="1" applyFont="1" applyFill="1" applyBorder="1" applyAlignment="1">
      <alignment horizontal="left" vertical="center"/>
    </xf>
    <xf numFmtId="0" fontId="25" fillId="29" borderId="42" xfId="16" applyFont="1" applyFill="1" applyBorder="1" applyAlignment="1">
      <alignment horizontal="center" vertical="center"/>
    </xf>
    <xf numFmtId="0" fontId="25" fillId="29" borderId="43" xfId="16" applyFont="1" applyFill="1" applyBorder="1" applyAlignment="1">
      <alignment horizontal="center" vertical="center"/>
    </xf>
    <xf numFmtId="44" fontId="25" fillId="29" borderId="43" xfId="16" applyNumberFormat="1" applyFont="1" applyFill="1" applyBorder="1" applyAlignment="1">
      <alignment horizontal="center" vertical="center"/>
    </xf>
    <xf numFmtId="166" fontId="20" fillId="29" borderId="43" xfId="24" applyNumberFormat="1" applyFont="1" applyFill="1" applyBorder="1" applyAlignment="1">
      <alignment horizontal="center" vertical="center"/>
    </xf>
    <xf numFmtId="166" fontId="25" fillId="29" borderId="43" xfId="24" applyNumberFormat="1" applyFont="1" applyFill="1" applyBorder="1" applyAlignment="1">
      <alignment horizontal="center" vertical="center"/>
    </xf>
    <xf numFmtId="166" fontId="25" fillId="29" borderId="44" xfId="24" applyNumberFormat="1" applyFont="1" applyFill="1" applyBorder="1" applyAlignment="1">
      <alignment horizontal="center" vertical="center"/>
    </xf>
    <xf numFmtId="0" fontId="13" fillId="29" borderId="19" xfId="16" applyFont="1" applyFill="1" applyAlignment="1">
      <alignment horizontal="right" vertical="center"/>
    </xf>
    <xf numFmtId="0" fontId="83" fillId="29" borderId="19" xfId="16" applyFont="1" applyFill="1" applyAlignment="1">
      <alignment horizontal="center" vertical="center" wrapText="1"/>
    </xf>
    <xf numFmtId="0" fontId="13" fillId="29" borderId="19" xfId="16" applyFont="1" applyFill="1" applyAlignment="1">
      <alignment horizontal="center" vertical="center"/>
    </xf>
    <xf numFmtId="44" fontId="13" fillId="29" borderId="19" xfId="22" applyFont="1" applyFill="1" applyBorder="1" applyAlignment="1">
      <alignment horizontal="center" vertical="center"/>
    </xf>
    <xf numFmtId="44" fontId="13" fillId="29" borderId="19" xfId="16" applyNumberFormat="1" applyFont="1" applyFill="1" applyAlignment="1">
      <alignment horizontal="center" vertical="center"/>
    </xf>
    <xf numFmtId="166" fontId="13" fillId="29" borderId="19" xfId="24" applyNumberFormat="1" applyFont="1" applyFill="1" applyBorder="1" applyAlignment="1">
      <alignment horizontal="center" vertical="center"/>
    </xf>
    <xf numFmtId="166" fontId="83" fillId="29" borderId="19" xfId="24" applyNumberFormat="1" applyFont="1" applyFill="1" applyBorder="1" applyAlignment="1">
      <alignment horizontal="center" vertical="center" wrapText="1"/>
    </xf>
    <xf numFmtId="166" fontId="83" fillId="29" borderId="46" xfId="24" applyNumberFormat="1" applyFont="1" applyFill="1" applyBorder="1" applyAlignment="1">
      <alignment horizontal="center" vertical="center" wrapText="1"/>
    </xf>
    <xf numFmtId="166" fontId="13" fillId="29" borderId="46" xfId="24" applyNumberFormat="1" applyFont="1" applyFill="1" applyBorder="1" applyAlignment="1">
      <alignment horizontal="center" vertical="center"/>
    </xf>
    <xf numFmtId="0" fontId="13" fillId="29" borderId="39" xfId="16" applyFont="1" applyFill="1" applyBorder="1" applyAlignment="1">
      <alignment horizontal="left" vertical="center"/>
    </xf>
    <xf numFmtId="0" fontId="13" fillId="29" borderId="40" xfId="16" applyFont="1" applyFill="1" applyBorder="1" applyAlignment="1">
      <alignment horizontal="right" vertical="center"/>
    </xf>
    <xf numFmtId="0" fontId="13" fillId="29" borderId="40" xfId="16" applyFont="1" applyFill="1" applyBorder="1" applyAlignment="1">
      <alignment horizontal="center" vertical="center"/>
    </xf>
    <xf numFmtId="44" fontId="13" fillId="29" borderId="40" xfId="22" applyFont="1" applyFill="1" applyBorder="1" applyAlignment="1">
      <alignment horizontal="center" vertical="center"/>
    </xf>
    <xf numFmtId="44" fontId="13" fillId="29" borderId="40" xfId="16" applyNumberFormat="1" applyFont="1" applyFill="1" applyBorder="1" applyAlignment="1">
      <alignment horizontal="center" vertical="center"/>
    </xf>
    <xf numFmtId="166" fontId="13" fillId="29" borderId="40" xfId="24" applyNumberFormat="1" applyFont="1" applyFill="1" applyBorder="1" applyAlignment="1">
      <alignment horizontal="center" vertical="center"/>
    </xf>
    <xf numFmtId="166" fontId="13" fillId="29" borderId="41" xfId="24" applyNumberFormat="1" applyFont="1" applyFill="1" applyBorder="1" applyAlignment="1">
      <alignment horizontal="center" vertical="center"/>
    </xf>
    <xf numFmtId="0" fontId="19" fillId="0" borderId="19" xfId="16" applyFont="1" applyAlignment="1">
      <alignment horizontal="right" vertical="center"/>
    </xf>
    <xf numFmtId="166" fontId="20" fillId="0" borderId="19" xfId="24" applyNumberFormat="1" applyFont="1" applyFill="1" applyBorder="1" applyAlignment="1">
      <alignment horizontal="right" vertical="center"/>
    </xf>
    <xf numFmtId="166" fontId="19" fillId="0" borderId="19" xfId="24" applyNumberFormat="1" applyFont="1" applyFill="1" applyBorder="1" applyAlignment="1">
      <alignment horizontal="right" vertical="center"/>
    </xf>
    <xf numFmtId="0" fontId="21" fillId="0" borderId="19" xfId="16" applyFont="1" applyAlignment="1">
      <alignment horizontal="right" vertical="center"/>
    </xf>
    <xf numFmtId="0" fontId="13" fillId="54" borderId="45" xfId="16" applyFont="1" applyFill="1" applyBorder="1" applyAlignment="1">
      <alignment horizontal="left" vertical="center"/>
    </xf>
    <xf numFmtId="0" fontId="20" fillId="54" borderId="19" xfId="16" applyFont="1" applyFill="1" applyAlignment="1">
      <alignment horizontal="right" vertical="center"/>
    </xf>
    <xf numFmtId="0" fontId="13" fillId="54" borderId="19" xfId="16" applyFont="1" applyFill="1" applyAlignment="1">
      <alignment horizontal="left" vertical="center"/>
    </xf>
    <xf numFmtId="44" fontId="13" fillId="54" borderId="19" xfId="16" applyNumberFormat="1" applyFont="1" applyFill="1" applyAlignment="1">
      <alignment horizontal="left" vertical="center"/>
    </xf>
    <xf numFmtId="166" fontId="20" fillId="54" borderId="19" xfId="24" applyNumberFormat="1" applyFont="1" applyFill="1" applyBorder="1" applyAlignment="1">
      <alignment horizontal="right" vertical="center"/>
    </xf>
    <xf numFmtId="166" fontId="13" fillId="54" borderId="19" xfId="24" applyNumberFormat="1" applyFont="1" applyFill="1" applyBorder="1" applyAlignment="1">
      <alignment horizontal="left" vertical="center"/>
    </xf>
    <xf numFmtId="166" fontId="13" fillId="54" borderId="46" xfId="24" applyNumberFormat="1" applyFont="1" applyFill="1" applyBorder="1" applyAlignment="1">
      <alignment horizontal="left" vertical="center"/>
    </xf>
    <xf numFmtId="17" fontId="13" fillId="54" borderId="19" xfId="16" applyNumberFormat="1" applyFont="1" applyFill="1" applyAlignment="1">
      <alignment horizontal="left" vertical="center"/>
    </xf>
    <xf numFmtId="171" fontId="58" fillId="54" borderId="19" xfId="16" applyNumberFormat="1" applyFont="1" applyFill="1" applyAlignment="1">
      <alignment horizontal="left" vertical="center"/>
    </xf>
    <xf numFmtId="166" fontId="58" fillId="54" borderId="19" xfId="24" applyNumberFormat="1" applyFont="1" applyFill="1" applyBorder="1" applyAlignment="1">
      <alignment horizontal="left" vertical="center"/>
    </xf>
    <xf numFmtId="0" fontId="25" fillId="54" borderId="42" xfId="16" applyFont="1" applyFill="1" applyBorder="1" applyAlignment="1">
      <alignment horizontal="center" vertical="center"/>
    </xf>
    <xf numFmtId="0" fontId="25" fillId="54" borderId="43" xfId="16" applyFont="1" applyFill="1" applyBorder="1" applyAlignment="1">
      <alignment horizontal="center" vertical="center"/>
    </xf>
    <xf numFmtId="44" fontId="25" fillId="54" borderId="43" xfId="16" applyNumberFormat="1" applyFont="1" applyFill="1" applyBorder="1" applyAlignment="1">
      <alignment horizontal="center" vertical="center"/>
    </xf>
    <xf numFmtId="166" fontId="20" fillId="54" borderId="43" xfId="24" applyNumberFormat="1" applyFont="1" applyFill="1" applyBorder="1" applyAlignment="1">
      <alignment horizontal="center" vertical="center"/>
    </xf>
    <xf numFmtId="166" fontId="25" fillId="54" borderId="43" xfId="24" applyNumberFormat="1" applyFont="1" applyFill="1" applyBorder="1" applyAlignment="1">
      <alignment horizontal="center" vertical="center"/>
    </xf>
    <xf numFmtId="166" fontId="25" fillId="54" borderId="44" xfId="24" applyNumberFormat="1" applyFont="1" applyFill="1" applyBorder="1" applyAlignment="1">
      <alignment horizontal="center" vertical="center"/>
    </xf>
    <xf numFmtId="0" fontId="13" fillId="54" borderId="19" xfId="16" applyFont="1" applyFill="1" applyAlignment="1">
      <alignment horizontal="right" vertical="center"/>
    </xf>
    <xf numFmtId="0" fontId="83" fillId="54" borderId="19" xfId="16" applyFont="1" applyFill="1" applyAlignment="1">
      <alignment horizontal="center" vertical="center" wrapText="1"/>
    </xf>
    <xf numFmtId="0" fontId="13" fillId="54" borderId="19" xfId="16" applyFont="1" applyFill="1" applyAlignment="1">
      <alignment horizontal="center" vertical="center"/>
    </xf>
    <xf numFmtId="44" fontId="13" fillId="54" borderId="19" xfId="22" applyFont="1" applyFill="1" applyBorder="1" applyAlignment="1">
      <alignment horizontal="center" vertical="center"/>
    </xf>
    <xf numFmtId="44" fontId="13" fillId="54" borderId="19" xfId="16" applyNumberFormat="1" applyFont="1" applyFill="1" applyAlignment="1">
      <alignment horizontal="center" vertical="center"/>
    </xf>
    <xf numFmtId="166" fontId="13" fillId="54" borderId="19" xfId="24" applyNumberFormat="1" applyFont="1" applyFill="1" applyBorder="1" applyAlignment="1">
      <alignment horizontal="center" vertical="center"/>
    </xf>
    <xf numFmtId="166" fontId="83" fillId="54" borderId="19" xfId="24" applyNumberFormat="1" applyFont="1" applyFill="1" applyBorder="1" applyAlignment="1">
      <alignment horizontal="center" vertical="center" wrapText="1"/>
    </xf>
    <xf numFmtId="166" fontId="83" fillId="54" borderId="46" xfId="24" applyNumberFormat="1" applyFont="1" applyFill="1" applyBorder="1" applyAlignment="1">
      <alignment horizontal="center" vertical="center" wrapText="1"/>
    </xf>
    <xf numFmtId="166" fontId="13" fillId="54" borderId="46" xfId="24" applyNumberFormat="1" applyFont="1" applyFill="1" applyBorder="1" applyAlignment="1">
      <alignment horizontal="center" vertical="center"/>
    </xf>
    <xf numFmtId="0" fontId="20" fillId="0" borderId="19" xfId="16" applyFont="1" applyAlignment="1">
      <alignment horizontal="left" vertical="center"/>
    </xf>
    <xf numFmtId="4" fontId="20" fillId="0" borderId="19" xfId="16" applyNumberFormat="1" applyFont="1" applyAlignment="1">
      <alignment horizontal="left" vertical="center"/>
    </xf>
    <xf numFmtId="0" fontId="13" fillId="54" borderId="39" xfId="16" applyFont="1" applyFill="1" applyBorder="1" applyAlignment="1">
      <alignment horizontal="left" vertical="center"/>
    </xf>
    <xf numFmtId="0" fontId="13" fillId="54" borderId="40" xfId="16" applyFont="1" applyFill="1" applyBorder="1" applyAlignment="1">
      <alignment horizontal="right" vertical="center"/>
    </xf>
    <xf numFmtId="0" fontId="13" fillId="54" borderId="40" xfId="16" applyFont="1" applyFill="1" applyBorder="1" applyAlignment="1">
      <alignment horizontal="center" vertical="center"/>
    </xf>
    <xf numFmtId="44" fontId="13" fillId="54" borderId="40" xfId="22" applyFont="1" applyFill="1" applyBorder="1" applyAlignment="1">
      <alignment horizontal="center" vertical="center"/>
    </xf>
    <xf numFmtId="44" fontId="13" fillId="54" borderId="40" xfId="16" applyNumberFormat="1" applyFont="1" applyFill="1" applyBorder="1" applyAlignment="1">
      <alignment horizontal="center" vertical="center"/>
    </xf>
    <xf numFmtId="166" fontId="13" fillId="54" borderId="40" xfId="24" applyNumberFormat="1" applyFont="1" applyFill="1" applyBorder="1" applyAlignment="1">
      <alignment horizontal="center" vertical="center"/>
    </xf>
    <xf numFmtId="166" fontId="13" fillId="54" borderId="41" xfId="24" applyNumberFormat="1" applyFont="1" applyFill="1" applyBorder="1" applyAlignment="1">
      <alignment horizontal="center" vertical="center"/>
    </xf>
    <xf numFmtId="0" fontId="13" fillId="35" borderId="45" xfId="16" applyFont="1" applyFill="1" applyBorder="1" applyAlignment="1">
      <alignment horizontal="left" vertical="center"/>
    </xf>
    <xf numFmtId="0" fontId="20" fillId="35" borderId="19" xfId="16" applyFont="1" applyFill="1" applyAlignment="1">
      <alignment horizontal="right" vertical="center"/>
    </xf>
    <xf numFmtId="0" fontId="13" fillId="35" borderId="19" xfId="16" applyFont="1" applyFill="1" applyAlignment="1">
      <alignment horizontal="left" vertical="center"/>
    </xf>
    <xf numFmtId="44" fontId="13" fillId="35" borderId="19" xfId="16" applyNumberFormat="1" applyFont="1" applyFill="1" applyAlignment="1">
      <alignment horizontal="left" vertical="center"/>
    </xf>
    <xf numFmtId="166" fontId="20" fillId="35" borderId="19" xfId="24" applyNumberFormat="1" applyFont="1" applyFill="1" applyBorder="1" applyAlignment="1">
      <alignment horizontal="right" vertical="center"/>
    </xf>
    <xf numFmtId="166" fontId="13" fillId="35" borderId="19" xfId="24" applyNumberFormat="1" applyFont="1" applyFill="1" applyBorder="1" applyAlignment="1">
      <alignment horizontal="left" vertical="center"/>
    </xf>
    <xf numFmtId="166" fontId="13" fillId="35" borderId="46" xfId="24" applyNumberFormat="1" applyFont="1" applyFill="1" applyBorder="1" applyAlignment="1">
      <alignment horizontal="left" vertical="center"/>
    </xf>
    <xf numFmtId="17" fontId="13" fillId="35" borderId="19" xfId="16" applyNumberFormat="1" applyFont="1" applyFill="1" applyAlignment="1">
      <alignment horizontal="left" vertical="center"/>
    </xf>
    <xf numFmtId="171" fontId="58" fillId="35" borderId="19" xfId="16" applyNumberFormat="1" applyFont="1" applyFill="1" applyAlignment="1">
      <alignment horizontal="left" vertical="center"/>
    </xf>
    <xf numFmtId="166" fontId="58" fillId="35" borderId="19" xfId="24" applyNumberFormat="1" applyFont="1" applyFill="1" applyBorder="1" applyAlignment="1">
      <alignment horizontal="left" vertical="center"/>
    </xf>
    <xf numFmtId="0" fontId="25" fillId="35" borderId="45" xfId="16" applyFont="1" applyFill="1" applyBorder="1" applyAlignment="1">
      <alignment horizontal="center" vertical="center"/>
    </xf>
    <xf numFmtId="0" fontId="25" fillId="35" borderId="19" xfId="16" applyFont="1" applyFill="1" applyAlignment="1">
      <alignment horizontal="center" vertical="center"/>
    </xf>
    <xf numFmtId="44" fontId="25" fillId="35" borderId="19" xfId="16" applyNumberFormat="1" applyFont="1" applyFill="1" applyAlignment="1">
      <alignment horizontal="center" vertical="center"/>
    </xf>
    <xf numFmtId="166" fontId="20" fillId="35" borderId="19" xfId="24" applyNumberFormat="1" applyFont="1" applyFill="1" applyBorder="1" applyAlignment="1">
      <alignment horizontal="center" vertical="center"/>
    </xf>
    <xf numFmtId="166" fontId="25" fillId="35" borderId="19" xfId="24" applyNumberFormat="1" applyFont="1" applyFill="1" applyBorder="1" applyAlignment="1">
      <alignment horizontal="center" vertical="center"/>
    </xf>
    <xf numFmtId="166" fontId="25" fillId="35" borderId="46" xfId="24" applyNumberFormat="1" applyFont="1" applyFill="1" applyBorder="1" applyAlignment="1">
      <alignment horizontal="center" vertical="center"/>
    </xf>
    <xf numFmtId="0" fontId="13" fillId="35" borderId="19" xfId="16" applyFont="1" applyFill="1" applyAlignment="1">
      <alignment horizontal="right" vertical="center"/>
    </xf>
    <xf numFmtId="0" fontId="83" fillId="35" borderId="19" xfId="16" applyFont="1" applyFill="1" applyAlignment="1">
      <alignment horizontal="center" vertical="center" wrapText="1"/>
    </xf>
    <xf numFmtId="0" fontId="13" fillId="35" borderId="19" xfId="16" applyFont="1" applyFill="1" applyAlignment="1">
      <alignment horizontal="center" vertical="center"/>
    </xf>
    <xf numFmtId="44" fontId="13" fillId="35" borderId="19" xfId="22" applyFont="1" applyFill="1" applyBorder="1" applyAlignment="1">
      <alignment horizontal="center" vertical="center"/>
    </xf>
    <xf numFmtId="44" fontId="13" fillId="35" borderId="19" xfId="16" applyNumberFormat="1" applyFont="1" applyFill="1" applyAlignment="1">
      <alignment horizontal="center" vertical="center"/>
    </xf>
    <xf numFmtId="166" fontId="13" fillId="35" borderId="19" xfId="24" applyNumberFormat="1" applyFont="1" applyFill="1" applyBorder="1" applyAlignment="1">
      <alignment horizontal="center" vertical="center"/>
    </xf>
    <xf numFmtId="166" fontId="83" fillId="35" borderId="19" xfId="24" applyNumberFormat="1" applyFont="1" applyFill="1" applyBorder="1" applyAlignment="1">
      <alignment horizontal="center" vertical="center" wrapText="1"/>
    </xf>
    <xf numFmtId="166" fontId="83" fillId="35" borderId="46" xfId="24" applyNumberFormat="1" applyFont="1" applyFill="1" applyBorder="1" applyAlignment="1">
      <alignment horizontal="center" vertical="center" wrapText="1"/>
    </xf>
    <xf numFmtId="166" fontId="13" fillId="35" borderId="46" xfId="24" applyNumberFormat="1" applyFont="1" applyFill="1" applyBorder="1" applyAlignment="1">
      <alignment horizontal="center" vertical="center"/>
    </xf>
    <xf numFmtId="0" fontId="13" fillId="35" borderId="39" xfId="16" applyFont="1" applyFill="1" applyBorder="1" applyAlignment="1">
      <alignment horizontal="left" vertical="center"/>
    </xf>
    <xf numFmtId="0" fontId="13" fillId="35" borderId="40" xfId="16" applyFont="1" applyFill="1" applyBorder="1" applyAlignment="1">
      <alignment horizontal="right" vertical="center"/>
    </xf>
    <xf numFmtId="0" fontId="13" fillId="35" borderId="40" xfId="16" applyFont="1" applyFill="1" applyBorder="1" applyAlignment="1">
      <alignment horizontal="center" vertical="center"/>
    </xf>
    <xf numFmtId="44" fontId="13" fillId="35" borderId="40" xfId="22" applyFont="1" applyFill="1" applyBorder="1" applyAlignment="1">
      <alignment horizontal="center" vertical="center"/>
    </xf>
    <xf numFmtId="44" fontId="13" fillId="35" borderId="40" xfId="16" applyNumberFormat="1" applyFont="1" applyFill="1" applyBorder="1" applyAlignment="1">
      <alignment horizontal="center" vertical="center"/>
    </xf>
    <xf numFmtId="166" fontId="13" fillId="35" borderId="40" xfId="24" applyNumberFormat="1" applyFont="1" applyFill="1" applyBorder="1" applyAlignment="1">
      <alignment horizontal="center" vertical="center"/>
    </xf>
    <xf numFmtId="166" fontId="13" fillId="35" borderId="41" xfId="24" applyNumberFormat="1" applyFont="1" applyFill="1" applyBorder="1" applyAlignment="1">
      <alignment horizontal="center" vertical="center"/>
    </xf>
    <xf numFmtId="0" fontId="13" fillId="56" borderId="45" xfId="16" applyFont="1" applyFill="1" applyBorder="1" applyAlignment="1">
      <alignment horizontal="left" vertical="center"/>
    </xf>
    <xf numFmtId="0" fontId="20" fillId="56" borderId="19" xfId="16" applyFont="1" applyFill="1" applyAlignment="1">
      <alignment horizontal="right" vertical="center"/>
    </xf>
    <xf numFmtId="0" fontId="13" fillId="56" borderId="19" xfId="16" applyFont="1" applyFill="1" applyAlignment="1">
      <alignment horizontal="left" vertical="center"/>
    </xf>
    <xf numFmtId="44" fontId="13" fillId="56" borderId="19" xfId="16" applyNumberFormat="1" applyFont="1" applyFill="1" applyAlignment="1">
      <alignment horizontal="left" vertical="center"/>
    </xf>
    <xf numFmtId="166" fontId="20" fillId="56" borderId="19" xfId="24" applyNumberFormat="1" applyFont="1" applyFill="1" applyBorder="1" applyAlignment="1">
      <alignment horizontal="right" vertical="center"/>
    </xf>
    <xf numFmtId="166" fontId="13" fillId="56" borderId="19" xfId="24" applyNumberFormat="1" applyFont="1" applyFill="1" applyBorder="1" applyAlignment="1">
      <alignment horizontal="left" vertical="center"/>
    </xf>
    <xf numFmtId="166" fontId="13" fillId="56" borderId="46" xfId="24" applyNumberFormat="1" applyFont="1" applyFill="1" applyBorder="1" applyAlignment="1">
      <alignment horizontal="left" vertical="center"/>
    </xf>
    <xf numFmtId="17" fontId="13" fillId="56" borderId="19" xfId="16" applyNumberFormat="1" applyFont="1" applyFill="1" applyAlignment="1">
      <alignment horizontal="left" vertical="center"/>
    </xf>
    <xf numFmtId="171" fontId="58" fillId="56" borderId="19" xfId="16" applyNumberFormat="1" applyFont="1" applyFill="1" applyAlignment="1">
      <alignment horizontal="left" vertical="center"/>
    </xf>
    <xf numFmtId="166" fontId="58" fillId="56" borderId="19" xfId="24" applyNumberFormat="1" applyFont="1" applyFill="1" applyBorder="1" applyAlignment="1">
      <alignment horizontal="left" vertical="center"/>
    </xf>
    <xf numFmtId="0" fontId="25" fillId="56" borderId="45" xfId="16" applyFont="1" applyFill="1" applyBorder="1" applyAlignment="1">
      <alignment horizontal="center" vertical="center"/>
    </xf>
    <xf numFmtId="0" fontId="25" fillId="56" borderId="19" xfId="16" applyFont="1" applyFill="1" applyAlignment="1">
      <alignment horizontal="center" vertical="center"/>
    </xf>
    <xf numFmtId="44" fontId="25" fillId="56" borderId="19" xfId="16" applyNumberFormat="1" applyFont="1" applyFill="1" applyAlignment="1">
      <alignment horizontal="center" vertical="center"/>
    </xf>
    <xf numFmtId="166" fontId="20" fillId="56" borderId="19" xfId="24" applyNumberFormat="1" applyFont="1" applyFill="1" applyBorder="1" applyAlignment="1">
      <alignment horizontal="center" vertical="center"/>
    </xf>
    <xf numFmtId="166" fontId="25" fillId="56" borderId="19" xfId="24" applyNumberFormat="1" applyFont="1" applyFill="1" applyBorder="1" applyAlignment="1">
      <alignment horizontal="center" vertical="center"/>
    </xf>
    <xf numFmtId="166" fontId="25" fillId="56" borderId="46" xfId="24" applyNumberFormat="1" applyFont="1" applyFill="1" applyBorder="1" applyAlignment="1">
      <alignment horizontal="center" vertical="center"/>
    </xf>
    <xf numFmtId="0" fontId="13" fillId="56" borderId="19" xfId="16" applyFont="1" applyFill="1" applyAlignment="1">
      <alignment horizontal="right" vertical="center"/>
    </xf>
    <xf numFmtId="0" fontId="13" fillId="56" borderId="19" xfId="16" applyFont="1" applyFill="1" applyAlignment="1">
      <alignment horizontal="center" vertical="center"/>
    </xf>
    <xf numFmtId="44" fontId="13" fillId="56" borderId="19" xfId="22" applyFont="1" applyFill="1" applyBorder="1" applyAlignment="1">
      <alignment horizontal="center" vertical="center"/>
    </xf>
    <xf numFmtId="44" fontId="13" fillId="56" borderId="19" xfId="16" applyNumberFormat="1" applyFont="1" applyFill="1" applyAlignment="1">
      <alignment horizontal="center" vertical="center"/>
    </xf>
    <xf numFmtId="166" fontId="13" fillId="56" borderId="19" xfId="24" applyNumberFormat="1" applyFont="1" applyFill="1" applyBorder="1" applyAlignment="1">
      <alignment horizontal="center" vertical="center"/>
    </xf>
    <xf numFmtId="166" fontId="83" fillId="56" borderId="19" xfId="24" applyNumberFormat="1" applyFont="1" applyFill="1" applyBorder="1" applyAlignment="1">
      <alignment horizontal="center" vertical="center" wrapText="1"/>
    </xf>
    <xf numFmtId="166" fontId="83" fillId="56" borderId="46" xfId="24" applyNumberFormat="1" applyFont="1" applyFill="1" applyBorder="1" applyAlignment="1">
      <alignment horizontal="center" vertical="center" wrapText="1"/>
    </xf>
    <xf numFmtId="166" fontId="13" fillId="56" borderId="46" xfId="24" applyNumberFormat="1" applyFont="1" applyFill="1" applyBorder="1" applyAlignment="1">
      <alignment horizontal="center" vertical="center"/>
    </xf>
    <xf numFmtId="0" fontId="19" fillId="0" borderId="19" xfId="16" applyFont="1" applyAlignment="1">
      <alignment horizontal="left" vertical="center"/>
    </xf>
    <xf numFmtId="0" fontId="13" fillId="56" borderId="39" xfId="16" applyFont="1" applyFill="1" applyBorder="1" applyAlignment="1">
      <alignment horizontal="left" vertical="center"/>
    </xf>
    <xf numFmtId="0" fontId="13" fillId="56" borderId="40" xfId="16" applyFont="1" applyFill="1" applyBorder="1" applyAlignment="1">
      <alignment horizontal="right" vertical="center"/>
    </xf>
    <xf numFmtId="0" fontId="13" fillId="56" borderId="40" xfId="16" applyFont="1" applyFill="1" applyBorder="1" applyAlignment="1">
      <alignment horizontal="center" vertical="center"/>
    </xf>
    <xf numFmtId="44" fontId="13" fillId="56" borderId="40" xfId="22" applyFont="1" applyFill="1" applyBorder="1" applyAlignment="1">
      <alignment horizontal="center" vertical="center"/>
    </xf>
    <xf numFmtId="44" fontId="13" fillId="56" borderId="40" xfId="16" applyNumberFormat="1" applyFont="1" applyFill="1" applyBorder="1" applyAlignment="1">
      <alignment horizontal="center" vertical="center"/>
    </xf>
    <xf numFmtId="166" fontId="13" fillId="56" borderId="40" xfId="24" applyNumberFormat="1" applyFont="1" applyFill="1" applyBorder="1" applyAlignment="1">
      <alignment horizontal="center" vertical="center"/>
    </xf>
    <xf numFmtId="166" fontId="13" fillId="56" borderId="41" xfId="24" applyNumberFormat="1" applyFont="1" applyFill="1" applyBorder="1" applyAlignment="1">
      <alignment horizontal="center" vertical="center"/>
    </xf>
    <xf numFmtId="0" fontId="13" fillId="57" borderId="45" xfId="16" applyFont="1" applyFill="1" applyBorder="1" applyAlignment="1">
      <alignment horizontal="left" vertical="center"/>
    </xf>
    <xf numFmtId="0" fontId="20" fillId="57" borderId="19" xfId="16" applyFont="1" applyFill="1" applyAlignment="1">
      <alignment horizontal="right" vertical="center"/>
    </xf>
    <xf numFmtId="0" fontId="13" fillId="57" borderId="19" xfId="16" applyFont="1" applyFill="1" applyAlignment="1">
      <alignment horizontal="left" vertical="center"/>
    </xf>
    <xf numFmtId="44" fontId="13" fillId="57" borderId="19" xfId="16" applyNumberFormat="1" applyFont="1" applyFill="1" applyAlignment="1">
      <alignment horizontal="left" vertical="center"/>
    </xf>
    <xf numFmtId="166" fontId="20" fillId="57" borderId="19" xfId="24" applyNumberFormat="1" applyFont="1" applyFill="1" applyBorder="1" applyAlignment="1">
      <alignment horizontal="right" vertical="center"/>
    </xf>
    <xf numFmtId="166" fontId="13" fillId="57" borderId="19" xfId="24" applyNumberFormat="1" applyFont="1" applyFill="1" applyBorder="1" applyAlignment="1">
      <alignment horizontal="left" vertical="center"/>
    </xf>
    <xf numFmtId="166" fontId="13" fillId="57" borderId="46" xfId="24" applyNumberFormat="1" applyFont="1" applyFill="1" applyBorder="1" applyAlignment="1">
      <alignment horizontal="left" vertical="center"/>
    </xf>
    <xf numFmtId="17" fontId="13" fillId="57" borderId="19" xfId="16" applyNumberFormat="1" applyFont="1" applyFill="1" applyAlignment="1">
      <alignment horizontal="left" vertical="center"/>
    </xf>
    <xf numFmtId="171" fontId="58" fillId="57" borderId="19" xfId="16" applyNumberFormat="1" applyFont="1" applyFill="1" applyAlignment="1">
      <alignment horizontal="left" vertical="center"/>
    </xf>
    <xf numFmtId="166" fontId="58" fillId="57" borderId="19" xfId="24" applyNumberFormat="1" applyFont="1" applyFill="1" applyBorder="1" applyAlignment="1">
      <alignment horizontal="left" vertical="center"/>
    </xf>
    <xf numFmtId="0" fontId="25" fillId="57" borderId="45" xfId="16" applyFont="1" applyFill="1" applyBorder="1" applyAlignment="1">
      <alignment horizontal="center" vertical="center"/>
    </xf>
    <xf numFmtId="0" fontId="25" fillId="57" borderId="19" xfId="16" applyFont="1" applyFill="1" applyAlignment="1">
      <alignment horizontal="center" vertical="center"/>
    </xf>
    <xf numFmtId="44" fontId="25" fillId="57" borderId="19" xfId="16" applyNumberFormat="1" applyFont="1" applyFill="1" applyAlignment="1">
      <alignment horizontal="center" vertical="center"/>
    </xf>
    <xf numFmtId="166" fontId="20" fillId="57" borderId="19" xfId="24" applyNumberFormat="1" applyFont="1" applyFill="1" applyBorder="1" applyAlignment="1">
      <alignment horizontal="center" vertical="center"/>
    </xf>
    <xf numFmtId="166" fontId="25" fillId="57" borderId="19" xfId="24" applyNumberFormat="1" applyFont="1" applyFill="1" applyBorder="1" applyAlignment="1">
      <alignment horizontal="center" vertical="center"/>
    </xf>
    <xf numFmtId="166" fontId="25" fillId="57" borderId="46" xfId="24" applyNumberFormat="1" applyFont="1" applyFill="1" applyBorder="1" applyAlignment="1">
      <alignment horizontal="center" vertical="center"/>
    </xf>
    <xf numFmtId="0" fontId="13" fillId="57" borderId="19" xfId="16" applyFont="1" applyFill="1" applyAlignment="1">
      <alignment horizontal="right" vertical="center"/>
    </xf>
    <xf numFmtId="0" fontId="13" fillId="57" borderId="19" xfId="16" applyFont="1" applyFill="1" applyAlignment="1">
      <alignment horizontal="center" vertical="center"/>
    </xf>
    <xf numFmtId="44" fontId="13" fillId="57" borderId="19" xfId="22" applyFont="1" applyFill="1" applyBorder="1" applyAlignment="1">
      <alignment horizontal="center" vertical="center"/>
    </xf>
    <xf numFmtId="44" fontId="13" fillId="57" borderId="19" xfId="16" applyNumberFormat="1" applyFont="1" applyFill="1" applyAlignment="1">
      <alignment horizontal="center" vertical="center"/>
    </xf>
    <xf numFmtId="166" fontId="13" fillId="57" borderId="19" xfId="24" applyNumberFormat="1" applyFont="1" applyFill="1" applyBorder="1" applyAlignment="1">
      <alignment horizontal="center" vertical="center"/>
    </xf>
    <xf numFmtId="166" fontId="83" fillId="57" borderId="19" xfId="24" applyNumberFormat="1" applyFont="1" applyFill="1" applyBorder="1" applyAlignment="1">
      <alignment horizontal="center" vertical="center" wrapText="1"/>
    </xf>
    <xf numFmtId="166" fontId="83" fillId="57" borderId="46" xfId="24" applyNumberFormat="1" applyFont="1" applyFill="1" applyBorder="1" applyAlignment="1">
      <alignment horizontal="center" vertical="center" wrapText="1"/>
    </xf>
    <xf numFmtId="166" fontId="13" fillId="57" borderId="46" xfId="24" applyNumberFormat="1" applyFont="1" applyFill="1" applyBorder="1" applyAlignment="1">
      <alignment horizontal="center" vertical="center"/>
    </xf>
    <xf numFmtId="0" fontId="13" fillId="57" borderId="39" xfId="16" applyFont="1" applyFill="1" applyBorder="1" applyAlignment="1">
      <alignment horizontal="left" vertical="center"/>
    </xf>
    <xf numFmtId="0" fontId="13" fillId="57" borderId="40" xfId="16" applyFont="1" applyFill="1" applyBorder="1" applyAlignment="1">
      <alignment horizontal="right" vertical="center"/>
    </xf>
    <xf numFmtId="0" fontId="13" fillId="57" borderId="40" xfId="16" applyFont="1" applyFill="1" applyBorder="1" applyAlignment="1">
      <alignment horizontal="center" vertical="center"/>
    </xf>
    <xf numFmtId="44" fontId="13" fillId="57" borderId="40" xfId="22" applyFont="1" applyFill="1" applyBorder="1" applyAlignment="1">
      <alignment horizontal="center" vertical="center"/>
    </xf>
    <xf numFmtId="44" fontId="13" fillId="57" borderId="40" xfId="16" applyNumberFormat="1" applyFont="1" applyFill="1" applyBorder="1" applyAlignment="1">
      <alignment horizontal="center" vertical="center"/>
    </xf>
    <xf numFmtId="166" fontId="13" fillId="57" borderId="40" xfId="24" applyNumberFormat="1" applyFont="1" applyFill="1" applyBorder="1" applyAlignment="1">
      <alignment horizontal="center" vertical="center"/>
    </xf>
    <xf numFmtId="166" fontId="13" fillId="57" borderId="41" xfId="24" applyNumberFormat="1" applyFont="1" applyFill="1" applyBorder="1" applyAlignment="1">
      <alignment horizontal="center" vertical="center"/>
    </xf>
    <xf numFmtId="0" fontId="13" fillId="59" borderId="45" xfId="16" applyFont="1" applyFill="1" applyBorder="1" applyAlignment="1">
      <alignment horizontal="left" vertical="center"/>
    </xf>
    <xf numFmtId="0" fontId="20" fillId="59" borderId="19" xfId="16" applyFont="1" applyFill="1" applyAlignment="1">
      <alignment horizontal="right" vertical="center"/>
    </xf>
    <xf numFmtId="0" fontId="13" fillId="59" borderId="19" xfId="16" applyFont="1" applyFill="1" applyAlignment="1">
      <alignment horizontal="left" vertical="center"/>
    </xf>
    <xf numFmtId="44" fontId="13" fillId="59" borderId="19" xfId="16" applyNumberFormat="1" applyFont="1" applyFill="1" applyAlignment="1">
      <alignment horizontal="left" vertical="center"/>
    </xf>
    <xf numFmtId="166" fontId="20" fillId="59" borderId="19" xfId="24" applyNumberFormat="1" applyFont="1" applyFill="1" applyBorder="1" applyAlignment="1">
      <alignment horizontal="right" vertical="center"/>
    </xf>
    <xf numFmtId="166" fontId="13" fillId="59" borderId="19" xfId="24" applyNumberFormat="1" applyFont="1" applyFill="1" applyBorder="1" applyAlignment="1">
      <alignment horizontal="left" vertical="center"/>
    </xf>
    <xf numFmtId="166" fontId="13" fillId="59" borderId="46" xfId="24" applyNumberFormat="1" applyFont="1" applyFill="1" applyBorder="1" applyAlignment="1">
      <alignment horizontal="left" vertical="center"/>
    </xf>
    <xf numFmtId="17" fontId="13" fillId="59" borderId="19" xfId="16" applyNumberFormat="1" applyFont="1" applyFill="1" applyAlignment="1">
      <alignment horizontal="left" vertical="center"/>
    </xf>
    <xf numFmtId="171" fontId="58" fillId="59" borderId="19" xfId="16" applyNumberFormat="1" applyFont="1" applyFill="1" applyAlignment="1">
      <alignment horizontal="left" vertical="center"/>
    </xf>
    <xf numFmtId="166" fontId="58" fillId="59" borderId="19" xfId="24" applyNumberFormat="1" applyFont="1" applyFill="1" applyBorder="1" applyAlignment="1">
      <alignment horizontal="left" vertical="center"/>
    </xf>
    <xf numFmtId="0" fontId="25" fillId="59" borderId="45" xfId="16" applyFont="1" applyFill="1" applyBorder="1" applyAlignment="1">
      <alignment horizontal="center" vertical="center"/>
    </xf>
    <xf numFmtId="0" fontId="25" fillId="59" borderId="19" xfId="16" applyFont="1" applyFill="1" applyAlignment="1">
      <alignment horizontal="center" vertical="center"/>
    </xf>
    <xf numFmtId="44" fontId="25" fillId="59" borderId="19" xfId="16" applyNumberFormat="1" applyFont="1" applyFill="1" applyAlignment="1">
      <alignment horizontal="center" vertical="center"/>
    </xf>
    <xf numFmtId="166" fontId="20" fillId="59" borderId="19" xfId="24" applyNumberFormat="1" applyFont="1" applyFill="1" applyBorder="1" applyAlignment="1">
      <alignment horizontal="center" vertical="center"/>
    </xf>
    <xf numFmtId="166" fontId="25" fillId="59" borderId="19" xfId="24" applyNumberFormat="1" applyFont="1" applyFill="1" applyBorder="1" applyAlignment="1">
      <alignment horizontal="center" vertical="center"/>
    </xf>
    <xf numFmtId="166" fontId="25" fillId="59" borderId="46" xfId="24" applyNumberFormat="1" applyFont="1" applyFill="1" applyBorder="1" applyAlignment="1">
      <alignment horizontal="center" vertical="center"/>
    </xf>
    <xf numFmtId="0" fontId="13" fillId="59" borderId="19" xfId="16" applyFont="1" applyFill="1" applyAlignment="1">
      <alignment horizontal="right" vertical="center"/>
    </xf>
    <xf numFmtId="0" fontId="13" fillId="59" borderId="19" xfId="16" applyFont="1" applyFill="1" applyAlignment="1">
      <alignment horizontal="center" vertical="center"/>
    </xf>
    <xf numFmtId="44" fontId="13" fillId="59" borderId="19" xfId="22" applyFont="1" applyFill="1" applyBorder="1" applyAlignment="1">
      <alignment horizontal="center" vertical="center"/>
    </xf>
    <xf numFmtId="44" fontId="13" fillId="59" borderId="19" xfId="16" applyNumberFormat="1" applyFont="1" applyFill="1" applyAlignment="1">
      <alignment horizontal="center" vertical="center"/>
    </xf>
    <xf numFmtId="166" fontId="13" fillId="59" borderId="19" xfId="24" applyNumberFormat="1" applyFont="1" applyFill="1" applyBorder="1" applyAlignment="1">
      <alignment horizontal="center" vertical="center"/>
    </xf>
    <xf numFmtId="166" fontId="83" fillId="59" borderId="19" xfId="24" applyNumberFormat="1" applyFont="1" applyFill="1" applyBorder="1" applyAlignment="1">
      <alignment horizontal="center" vertical="center" wrapText="1"/>
    </xf>
    <xf numFmtId="166" fontId="83" fillId="59" borderId="46" xfId="24" applyNumberFormat="1" applyFont="1" applyFill="1" applyBorder="1" applyAlignment="1">
      <alignment horizontal="center" vertical="center" wrapText="1"/>
    </xf>
    <xf numFmtId="166" fontId="13" fillId="59" borderId="46" xfId="24" applyNumberFormat="1" applyFont="1" applyFill="1" applyBorder="1" applyAlignment="1">
      <alignment horizontal="center" vertical="center"/>
    </xf>
    <xf numFmtId="0" fontId="13" fillId="59" borderId="39" xfId="16" applyFont="1" applyFill="1" applyBorder="1" applyAlignment="1">
      <alignment horizontal="left" vertical="center"/>
    </xf>
    <xf numFmtId="0" fontId="13" fillId="59" borderId="40" xfId="16" applyFont="1" applyFill="1" applyBorder="1" applyAlignment="1">
      <alignment horizontal="right" vertical="center"/>
    </xf>
    <xf numFmtId="0" fontId="13" fillId="59" borderId="40" xfId="16" applyFont="1" applyFill="1" applyBorder="1" applyAlignment="1">
      <alignment horizontal="center" vertical="center"/>
    </xf>
    <xf numFmtId="44" fontId="13" fillId="59" borderId="40" xfId="22" applyFont="1" applyFill="1" applyBorder="1" applyAlignment="1">
      <alignment horizontal="center" vertical="center"/>
    </xf>
    <xf numFmtId="44" fontId="13" fillId="59" borderId="40" xfId="16" applyNumberFormat="1" applyFont="1" applyFill="1" applyBorder="1" applyAlignment="1">
      <alignment horizontal="center" vertical="center"/>
    </xf>
    <xf numFmtId="166" fontId="13" fillId="59" borderId="40" xfId="24" applyNumberFormat="1" applyFont="1" applyFill="1" applyBorder="1" applyAlignment="1">
      <alignment horizontal="center" vertical="center"/>
    </xf>
    <xf numFmtId="166" fontId="13" fillId="59" borderId="41" xfId="24" applyNumberFormat="1" applyFont="1" applyFill="1" applyBorder="1" applyAlignment="1">
      <alignment horizontal="center" vertical="center"/>
    </xf>
    <xf numFmtId="14" fontId="58" fillId="0" borderId="37" xfId="15" applyNumberFormat="1" applyFont="1" applyBorder="1" applyAlignment="1">
      <alignment horizontal="center" vertical="center" wrapText="1"/>
    </xf>
    <xf numFmtId="0" fontId="28" fillId="30" borderId="47" xfId="8" applyFont="1" applyFill="1" applyBorder="1" applyAlignment="1">
      <alignment vertical="center"/>
    </xf>
    <xf numFmtId="0" fontId="28" fillId="0" borderId="47" xfId="8" applyFont="1" applyBorder="1" applyAlignment="1">
      <alignment vertical="center"/>
    </xf>
    <xf numFmtId="0" fontId="52" fillId="0" borderId="47" xfId="8" applyFont="1" applyBorder="1" applyAlignment="1">
      <alignment vertical="center"/>
    </xf>
    <xf numFmtId="166" fontId="40" fillId="22" borderId="43" xfId="24" applyNumberFormat="1" applyFont="1" applyFill="1" applyBorder="1" applyAlignment="1">
      <alignment horizontal="center"/>
    </xf>
    <xf numFmtId="166" fontId="40" fillId="22" borderId="44" xfId="24" applyNumberFormat="1" applyFont="1" applyFill="1" applyBorder="1" applyAlignment="1">
      <alignment horizontal="center"/>
    </xf>
    <xf numFmtId="0" fontId="6" fillId="22" borderId="45" xfId="0" applyFont="1" applyFill="1" applyBorder="1" applyAlignment="1">
      <alignment horizontal="center"/>
    </xf>
    <xf numFmtId="0" fontId="6" fillId="22" borderId="19" xfId="0" applyFont="1" applyFill="1" applyBorder="1" applyAlignment="1">
      <alignment horizontal="center"/>
    </xf>
    <xf numFmtId="0" fontId="29" fillId="22" borderId="19" xfId="0" applyFont="1" applyFill="1" applyBorder="1" applyAlignment="1">
      <alignment horizontal="center" vertical="center"/>
    </xf>
    <xf numFmtId="0" fontId="29" fillId="22" borderId="46" xfId="0" applyFont="1" applyFill="1" applyBorder="1" applyAlignment="1">
      <alignment horizontal="center" vertical="center"/>
    </xf>
    <xf numFmtId="0" fontId="6" fillId="22" borderId="39" xfId="0" applyFont="1" applyFill="1" applyBorder="1" applyAlignment="1">
      <alignment horizontal="center"/>
    </xf>
    <xf numFmtId="0" fontId="29" fillId="22" borderId="40" xfId="0" applyFont="1" applyFill="1" applyBorder="1" applyAlignment="1">
      <alignment horizontal="center" vertical="center"/>
    </xf>
    <xf numFmtId="0" fontId="6" fillId="22" borderId="40" xfId="0" applyFont="1" applyFill="1" applyBorder="1" applyAlignment="1">
      <alignment horizontal="center"/>
    </xf>
    <xf numFmtId="0" fontId="29" fillId="22" borderId="41" xfId="0" applyFont="1" applyFill="1" applyBorder="1" applyAlignment="1">
      <alignment horizontal="center" vertical="center"/>
    </xf>
    <xf numFmtId="9" fontId="38" fillId="0" borderId="19" xfId="23" applyFont="1" applyFill="1" applyBorder="1"/>
    <xf numFmtId="0" fontId="6" fillId="0" borderId="19" xfId="8" applyFont="1"/>
    <xf numFmtId="0" fontId="38" fillId="23" borderId="35" xfId="0" applyFont="1" applyFill="1" applyBorder="1"/>
    <xf numFmtId="0" fontId="38" fillId="23" borderId="36" xfId="0" applyFont="1" applyFill="1" applyBorder="1"/>
    <xf numFmtId="0" fontId="38" fillId="23" borderId="37" xfId="0" applyFont="1" applyFill="1" applyBorder="1"/>
    <xf numFmtId="44" fontId="1" fillId="0" borderId="19" xfId="21" applyNumberFormat="1"/>
    <xf numFmtId="44" fontId="60" fillId="0" borderId="19" xfId="21" applyNumberFormat="1" applyFont="1" applyAlignment="1">
      <alignment vertical="center"/>
    </xf>
    <xf numFmtId="166" fontId="6" fillId="0" borderId="40" xfId="24" applyNumberFormat="1" applyFont="1" applyBorder="1" applyAlignment="1">
      <alignment horizontal="right"/>
    </xf>
    <xf numFmtId="6" fontId="6" fillId="0" borderId="0" xfId="0" applyNumberFormat="1" applyFont="1"/>
    <xf numFmtId="0" fontId="6" fillId="0" borderId="0" xfId="1" applyNumberFormat="1" applyFont="1"/>
    <xf numFmtId="0" fontId="6" fillId="0" borderId="0" xfId="1" quotePrefix="1" applyNumberFormat="1" applyFont="1" applyAlignment="1">
      <alignment horizontal="right"/>
    </xf>
    <xf numFmtId="43" fontId="1" fillId="0" borderId="19" xfId="1" applyFont="1" applyBorder="1"/>
    <xf numFmtId="43" fontId="0" fillId="0" borderId="0" xfId="0" applyNumberFormat="1"/>
    <xf numFmtId="0" fontId="86" fillId="0" borderId="54" xfId="0" applyFont="1" applyBorder="1"/>
    <xf numFmtId="0" fontId="28" fillId="0" borderId="19" xfId="0" applyFont="1" applyBorder="1"/>
    <xf numFmtId="0" fontId="87" fillId="0" borderId="19" xfId="0" applyFont="1" applyBorder="1"/>
    <xf numFmtId="0" fontId="87" fillId="0" borderId="55" xfId="0" applyFont="1" applyBorder="1"/>
    <xf numFmtId="0" fontId="86" fillId="3" borderId="67" xfId="0" applyFont="1" applyFill="1" applyBorder="1"/>
    <xf numFmtId="0" fontId="28" fillId="3" borderId="29" xfId="0" applyFont="1" applyFill="1" applyBorder="1"/>
    <xf numFmtId="17" fontId="47" fillId="3" borderId="65" xfId="0" applyNumberFormat="1" applyFont="1" applyFill="1" applyBorder="1" applyAlignment="1">
      <alignment horizontal="center"/>
    </xf>
    <xf numFmtId="0" fontId="47" fillId="3" borderId="86" xfId="0" applyFont="1" applyFill="1" applyBorder="1" applyAlignment="1">
      <alignment horizontal="center"/>
    </xf>
    <xf numFmtId="0" fontId="47" fillId="3" borderId="87" xfId="0" applyFont="1" applyFill="1" applyBorder="1" applyAlignment="1">
      <alignment horizontal="center"/>
    </xf>
    <xf numFmtId="0" fontId="16" fillId="4" borderId="68" xfId="0" applyFont="1" applyFill="1" applyBorder="1" applyAlignment="1">
      <alignment horizontal="right"/>
    </xf>
    <xf numFmtId="0" fontId="47" fillId="4" borderId="69" xfId="0" applyFont="1" applyFill="1" applyBorder="1" applyAlignment="1">
      <alignment horizontal="right"/>
    </xf>
    <xf numFmtId="0" fontId="28" fillId="4" borderId="70" xfId="0" applyFont="1" applyFill="1" applyBorder="1"/>
    <xf numFmtId="0" fontId="28" fillId="4" borderId="88" xfId="0" applyFont="1" applyFill="1" applyBorder="1"/>
    <xf numFmtId="0" fontId="87" fillId="4" borderId="88" xfId="0" applyFont="1" applyFill="1" applyBorder="1"/>
    <xf numFmtId="0" fontId="87" fillId="4" borderId="89" xfId="0" applyFont="1" applyFill="1" applyBorder="1"/>
    <xf numFmtId="0" fontId="47" fillId="0" borderId="19" xfId="0" applyFont="1" applyBorder="1" applyAlignment="1">
      <alignment horizontal="right"/>
    </xf>
    <xf numFmtId="166" fontId="28" fillId="5" borderId="18" xfId="0" applyNumberFormat="1" applyFont="1" applyFill="1" applyBorder="1" applyAlignment="1">
      <alignment horizontal="right"/>
    </xf>
    <xf numFmtId="166" fontId="28" fillId="5" borderId="90" xfId="0" applyNumberFormat="1" applyFont="1" applyFill="1" applyBorder="1" applyAlignment="1">
      <alignment horizontal="right"/>
    </xf>
    <xf numFmtId="166" fontId="28" fillId="5" borderId="55" xfId="0" applyNumberFormat="1" applyFont="1" applyFill="1" applyBorder="1" applyAlignment="1">
      <alignment horizontal="right"/>
    </xf>
    <xf numFmtId="0" fontId="28" fillId="0" borderId="19" xfId="0" applyFont="1" applyBorder="1" applyAlignment="1">
      <alignment horizontal="right"/>
    </xf>
    <xf numFmtId="0" fontId="27" fillId="0" borderId="13" xfId="0" applyFont="1" applyBorder="1" applyAlignment="1">
      <alignment horizontal="right"/>
    </xf>
    <xf numFmtId="169" fontId="27" fillId="5" borderId="17" xfId="0" applyNumberFormat="1" applyFont="1" applyFill="1" applyBorder="1" applyAlignment="1">
      <alignment horizontal="right"/>
    </xf>
    <xf numFmtId="164" fontId="28" fillId="5" borderId="18" xfId="0" applyNumberFormat="1" applyFont="1" applyFill="1" applyBorder="1" applyAlignment="1">
      <alignment horizontal="center"/>
    </xf>
    <xf numFmtId="164" fontId="28" fillId="5" borderId="90" xfId="0" applyNumberFormat="1" applyFont="1" applyFill="1" applyBorder="1" applyAlignment="1">
      <alignment horizontal="center"/>
    </xf>
    <xf numFmtId="164" fontId="87" fillId="5" borderId="90" xfId="0" applyNumberFormat="1" applyFont="1" applyFill="1" applyBorder="1"/>
    <xf numFmtId="164" fontId="87" fillId="5" borderId="55" xfId="0" applyNumberFormat="1" applyFont="1" applyFill="1" applyBorder="1"/>
    <xf numFmtId="0" fontId="27" fillId="4" borderId="13" xfId="0" applyFont="1" applyFill="1" applyBorder="1"/>
    <xf numFmtId="0" fontId="87" fillId="4" borderId="13" xfId="0" applyFont="1" applyFill="1" applyBorder="1"/>
    <xf numFmtId="0" fontId="87" fillId="4" borderId="60" xfId="0" applyFont="1" applyFill="1" applyBorder="1"/>
    <xf numFmtId="0" fontId="27" fillId="6" borderId="11" xfId="0" applyFont="1" applyFill="1" applyBorder="1"/>
    <xf numFmtId="0" fontId="27" fillId="6" borderId="30" xfId="0" applyFont="1" applyFill="1" applyBorder="1" applyAlignment="1">
      <alignment horizontal="center"/>
    </xf>
    <xf numFmtId="0" fontId="27" fillId="6" borderId="91" xfId="0" applyFont="1" applyFill="1" applyBorder="1" applyAlignment="1">
      <alignment horizontal="center"/>
    </xf>
    <xf numFmtId="0" fontId="87" fillId="6" borderId="91" xfId="0" applyFont="1" applyFill="1" applyBorder="1"/>
    <xf numFmtId="0" fontId="87" fillId="6" borderId="92" xfId="0" applyFont="1" applyFill="1" applyBorder="1"/>
    <xf numFmtId="0" fontId="27" fillId="0" borderId="11" xfId="0" applyFont="1" applyBorder="1" applyAlignment="1">
      <alignment horizontal="right"/>
    </xf>
    <xf numFmtId="169" fontId="27" fillId="5" borderId="14" xfId="0" applyNumberFormat="1" applyFont="1" applyFill="1" applyBorder="1" applyAlignment="1">
      <alignment horizontal="right"/>
    </xf>
    <xf numFmtId="0" fontId="28" fillId="0" borderId="11" xfId="0" applyFont="1" applyBorder="1" applyAlignment="1">
      <alignment horizontal="right"/>
    </xf>
    <xf numFmtId="0" fontId="27" fillId="7" borderId="13" xfId="0" applyFont="1" applyFill="1" applyBorder="1"/>
    <xf numFmtId="0" fontId="87" fillId="7" borderId="13" xfId="0" applyFont="1" applyFill="1" applyBorder="1"/>
    <xf numFmtId="0" fontId="87" fillId="7" borderId="60" xfId="0" applyFont="1" applyFill="1" applyBorder="1"/>
    <xf numFmtId="0" fontId="64" fillId="0" borderId="54" xfId="0" applyFont="1" applyBorder="1" applyAlignment="1">
      <alignment horizontal="left"/>
    </xf>
    <xf numFmtId="166" fontId="28" fillId="5" borderId="58" xfId="0" applyNumberFormat="1" applyFont="1" applyFill="1" applyBorder="1" applyAlignment="1">
      <alignment horizontal="right"/>
    </xf>
    <xf numFmtId="0" fontId="88" fillId="0" borderId="54" xfId="0" applyFont="1" applyBorder="1"/>
    <xf numFmtId="0" fontId="86" fillId="0" borderId="56" xfId="0" applyFont="1" applyBorder="1"/>
    <xf numFmtId="169" fontId="27" fillId="5" borderId="59" xfId="0" applyNumberFormat="1" applyFont="1" applyFill="1" applyBorder="1" applyAlignment="1">
      <alignment horizontal="right"/>
    </xf>
    <xf numFmtId="0" fontId="16" fillId="4" borderId="56" xfId="0" applyFont="1" applyFill="1" applyBorder="1" applyAlignment="1">
      <alignment horizontal="right"/>
    </xf>
    <xf numFmtId="0" fontId="88" fillId="6" borderId="61" xfId="0" applyFont="1" applyFill="1" applyBorder="1"/>
    <xf numFmtId="0" fontId="88" fillId="0" borderId="61" xfId="0" applyFont="1" applyBorder="1" applyAlignment="1">
      <alignment horizontal="left"/>
    </xf>
    <xf numFmtId="169" fontId="27" fillId="5" borderId="57" xfId="0" applyNumberFormat="1" applyFont="1" applyFill="1" applyBorder="1" applyAlignment="1">
      <alignment horizontal="right"/>
    </xf>
    <xf numFmtId="164" fontId="89" fillId="0" borderId="54" xfId="0" applyNumberFormat="1" applyFont="1" applyBorder="1" applyAlignment="1">
      <alignment horizontal="left"/>
    </xf>
    <xf numFmtId="0" fontId="86" fillId="0" borderId="61" xfId="0" applyFont="1" applyBorder="1"/>
    <xf numFmtId="0" fontId="16" fillId="7" borderId="56" xfId="0" applyFont="1" applyFill="1" applyBorder="1" applyAlignment="1">
      <alignment horizontal="right"/>
    </xf>
    <xf numFmtId="0" fontId="88" fillId="0" borderId="93" xfId="0" applyFont="1" applyBorder="1" applyAlignment="1">
      <alignment horizontal="left"/>
    </xf>
    <xf numFmtId="0" fontId="27" fillId="0" borderId="94" xfId="0" applyFont="1" applyBorder="1" applyAlignment="1">
      <alignment horizontal="right"/>
    </xf>
    <xf numFmtId="169" fontId="27" fillId="5" borderId="95" xfId="0" applyNumberFormat="1" applyFont="1" applyFill="1" applyBorder="1" applyAlignment="1">
      <alignment horizontal="right"/>
    </xf>
    <xf numFmtId="169" fontId="27" fillId="5" borderId="96" xfId="0" applyNumberFormat="1" applyFont="1" applyFill="1" applyBorder="1" applyAlignment="1">
      <alignment horizontal="right"/>
    </xf>
    <xf numFmtId="165" fontId="27" fillId="0" borderId="13" xfId="0" applyNumberFormat="1" applyFont="1" applyBorder="1" applyAlignment="1">
      <alignment horizontal="right"/>
    </xf>
    <xf numFmtId="6" fontId="28" fillId="0" borderId="30" xfId="2" applyNumberFormat="1" applyFont="1" applyBorder="1" applyAlignment="1">
      <alignment horizontal="right"/>
    </xf>
    <xf numFmtId="44" fontId="19" fillId="0" borderId="0" xfId="0" applyNumberFormat="1" applyFont="1" applyAlignment="1">
      <alignment horizontal="left" vertical="center"/>
    </xf>
    <xf numFmtId="166" fontId="6" fillId="0" borderId="40" xfId="24" applyNumberFormat="1" applyFont="1" applyFill="1" applyBorder="1" applyAlignment="1">
      <alignment horizontal="right"/>
    </xf>
    <xf numFmtId="6" fontId="28" fillId="61" borderId="30" xfId="2" applyNumberFormat="1" applyFont="1" applyFill="1" applyBorder="1" applyAlignment="1">
      <alignment horizontal="right"/>
    </xf>
    <xf numFmtId="6" fontId="28" fillId="0" borderId="20" xfId="2" applyNumberFormat="1" applyFont="1" applyFill="1" applyBorder="1" applyAlignment="1">
      <alignment horizontal="right"/>
    </xf>
    <xf numFmtId="165" fontId="27" fillId="0" borderId="94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8" fillId="0" borderId="0" xfId="0" applyFont="1"/>
    <xf numFmtId="0" fontId="90" fillId="0" borderId="0" xfId="0" applyFont="1"/>
    <xf numFmtId="172" fontId="90" fillId="0" borderId="0" xfId="0" applyNumberFormat="1" applyFont="1"/>
    <xf numFmtId="3" fontId="90" fillId="0" borderId="0" xfId="0" applyNumberFormat="1" applyFont="1"/>
    <xf numFmtId="0" fontId="91" fillId="0" borderId="0" xfId="0" applyFont="1"/>
    <xf numFmtId="9" fontId="42" fillId="0" borderId="0" xfId="3" applyFont="1" applyFill="1" applyAlignment="1">
      <alignment horizontal="right"/>
    </xf>
    <xf numFmtId="0" fontId="92" fillId="0" borderId="19" xfId="25"/>
    <xf numFmtId="0" fontId="61" fillId="0" borderId="19" xfId="21" applyFont="1" applyAlignment="1">
      <alignment vertical="center"/>
    </xf>
    <xf numFmtId="171" fontId="58" fillId="0" borderId="19" xfId="21" applyNumberFormat="1" applyFont="1" applyAlignment="1">
      <alignment horizontal="center" vertical="center" wrapText="1"/>
    </xf>
    <xf numFmtId="0" fontId="61" fillId="0" borderId="19" xfId="21" applyFont="1" applyAlignment="1">
      <alignment horizontal="center" vertical="center" wrapText="1"/>
    </xf>
    <xf numFmtId="0" fontId="53" fillId="0" borderId="19" xfId="21" applyFont="1" applyAlignment="1">
      <alignment horizontal="center" vertical="center" wrapText="1"/>
    </xf>
    <xf numFmtId="0" fontId="62" fillId="0" borderId="19" xfId="21" applyFont="1" applyAlignment="1">
      <alignment vertical="center"/>
    </xf>
    <xf numFmtId="0" fontId="23" fillId="0" borderId="19" xfId="21" applyFont="1" applyAlignment="1">
      <alignment vertical="center"/>
    </xf>
    <xf numFmtId="44" fontId="59" fillId="0" borderId="19" xfId="21" applyNumberFormat="1" applyFont="1" applyAlignment="1">
      <alignment horizontal="right" vertical="center"/>
    </xf>
    <xf numFmtId="0" fontId="61" fillId="0" borderId="19" xfId="21" applyFont="1" applyAlignment="1">
      <alignment horizontal="center" vertical="center"/>
    </xf>
    <xf numFmtId="0" fontId="63" fillId="0" borderId="19" xfId="21" applyFont="1" applyAlignment="1">
      <alignment vertical="center"/>
    </xf>
    <xf numFmtId="44" fontId="23" fillId="0" borderId="19" xfId="22" applyFont="1" applyFill="1" applyBorder="1" applyAlignment="1">
      <alignment vertical="center"/>
    </xf>
    <xf numFmtId="8" fontId="59" fillId="0" borderId="19" xfId="22" applyNumberFormat="1" applyFont="1" applyFill="1" applyBorder="1" applyAlignment="1">
      <alignment horizontal="right" vertical="center"/>
    </xf>
    <xf numFmtId="44" fontId="59" fillId="0" borderId="19" xfId="22" applyFont="1" applyFill="1" applyBorder="1" applyAlignment="1">
      <alignment horizontal="right" vertical="center"/>
    </xf>
    <xf numFmtId="0" fontId="13" fillId="0" borderId="42" xfId="16" applyFont="1" applyBorder="1" applyAlignment="1">
      <alignment horizontal="right" vertical="center"/>
    </xf>
    <xf numFmtId="0" fontId="13" fillId="0" borderId="43" xfId="16" applyFont="1" applyBorder="1" applyAlignment="1">
      <alignment horizontal="left" vertical="center"/>
    </xf>
    <xf numFmtId="0" fontId="13" fillId="0" borderId="44" xfId="16" applyFont="1" applyBorder="1" applyAlignment="1">
      <alignment horizontal="right" vertical="center"/>
    </xf>
    <xf numFmtId="0" fontId="33" fillId="0" borderId="45" xfId="16" applyFont="1" applyBorder="1" applyAlignment="1">
      <alignment horizontal="right" vertical="center"/>
    </xf>
    <xf numFmtId="0" fontId="34" fillId="0" borderId="19" xfId="16" applyFont="1" applyAlignment="1">
      <alignment horizontal="left" vertical="center"/>
    </xf>
    <xf numFmtId="44" fontId="34" fillId="0" borderId="19" xfId="22" applyFont="1" applyFill="1" applyBorder="1" applyAlignment="1">
      <alignment horizontal="left" vertical="center"/>
    </xf>
    <xf numFmtId="0" fontId="13" fillId="0" borderId="46" xfId="16" applyFont="1" applyBorder="1" applyAlignment="1">
      <alignment horizontal="right" vertical="center"/>
    </xf>
    <xf numFmtId="0" fontId="25" fillId="0" borderId="45" xfId="16" applyFont="1" applyBorder="1" applyAlignment="1">
      <alignment horizontal="right" vertical="center"/>
    </xf>
    <xf numFmtId="9" fontId="13" fillId="0" borderId="19" xfId="23" applyFont="1" applyFill="1" applyBorder="1" applyAlignment="1">
      <alignment horizontal="center" vertical="center"/>
    </xf>
    <xf numFmtId="44" fontId="13" fillId="0" borderId="19" xfId="22" applyFont="1" applyFill="1" applyBorder="1" applyAlignment="1">
      <alignment horizontal="left" vertical="center"/>
    </xf>
    <xf numFmtId="44" fontId="13" fillId="0" borderId="48" xfId="22" applyFont="1" applyFill="1" applyBorder="1" applyAlignment="1">
      <alignment horizontal="left" vertical="center"/>
    </xf>
    <xf numFmtId="44" fontId="13" fillId="0" borderId="46" xfId="16" applyNumberFormat="1" applyFont="1" applyBorder="1" applyAlignment="1">
      <alignment horizontal="right" vertical="center"/>
    </xf>
    <xf numFmtId="0" fontId="25" fillId="0" borderId="19" xfId="16" applyFont="1" applyAlignment="1">
      <alignment horizontal="left" vertical="center"/>
    </xf>
    <xf numFmtId="44" fontId="25" fillId="0" borderId="38" xfId="22" applyFont="1" applyFill="1" applyBorder="1" applyAlignment="1">
      <alignment horizontal="left" vertical="center"/>
    </xf>
    <xf numFmtId="0" fontId="13" fillId="0" borderId="39" xfId="16" applyFont="1" applyBorder="1" applyAlignment="1">
      <alignment horizontal="right" vertical="center"/>
    </xf>
    <xf numFmtId="0" fontId="13" fillId="0" borderId="40" xfId="16" applyFont="1" applyBorder="1" applyAlignment="1">
      <alignment horizontal="left" vertical="center"/>
    </xf>
    <xf numFmtId="0" fontId="13" fillId="0" borderId="41" xfId="16" applyFont="1" applyBorder="1" applyAlignment="1">
      <alignment horizontal="right" vertical="center"/>
    </xf>
    <xf numFmtId="0" fontId="95" fillId="0" borderId="19" xfId="25" applyFont="1"/>
    <xf numFmtId="0" fontId="96" fillId="0" borderId="19" xfId="25" applyFont="1"/>
    <xf numFmtId="0" fontId="92" fillId="62" borderId="19" xfId="25" applyFill="1"/>
    <xf numFmtId="0" fontId="97" fillId="62" borderId="19" xfId="25" applyFont="1" applyFill="1"/>
    <xf numFmtId="0" fontId="94" fillId="0" borderId="97" xfId="25" applyFont="1" applyBorder="1"/>
    <xf numFmtId="0" fontId="93" fillId="0" borderId="97" xfId="25" applyFont="1" applyBorder="1" applyAlignment="1">
      <alignment wrapText="1"/>
    </xf>
    <xf numFmtId="0" fontId="98" fillId="0" borderId="97" xfId="25" applyFont="1" applyBorder="1"/>
    <xf numFmtId="0" fontId="101" fillId="0" borderId="19" xfId="25" applyFont="1"/>
    <xf numFmtId="0" fontId="102" fillId="65" borderId="97" xfId="25" applyFont="1" applyFill="1" applyBorder="1"/>
    <xf numFmtId="167" fontId="102" fillId="65" borderId="97" xfId="25" applyNumberFormat="1" applyFont="1" applyFill="1" applyBorder="1"/>
    <xf numFmtId="0" fontId="103" fillId="0" borderId="97" xfId="25" applyFont="1" applyBorder="1"/>
    <xf numFmtId="172" fontId="102" fillId="65" borderId="97" xfId="25" applyNumberFormat="1" applyFont="1" applyFill="1" applyBorder="1"/>
    <xf numFmtId="167" fontId="102" fillId="66" borderId="97" xfId="25" applyNumberFormat="1" applyFont="1" applyFill="1" applyBorder="1"/>
    <xf numFmtId="0" fontId="102" fillId="66" borderId="97" xfId="25" applyFont="1" applyFill="1" applyBorder="1"/>
    <xf numFmtId="0" fontId="104" fillId="0" borderId="19" xfId="25" applyFont="1"/>
    <xf numFmtId="172" fontId="102" fillId="66" borderId="97" xfId="25" applyNumberFormat="1" applyFont="1" applyFill="1" applyBorder="1"/>
    <xf numFmtId="0" fontId="97" fillId="62" borderId="19" xfId="25" applyFont="1" applyFill="1" applyAlignment="1">
      <alignment horizontal="center" vertical="center" wrapText="1"/>
    </xf>
    <xf numFmtId="0" fontId="105" fillId="0" borderId="97" xfId="25" applyFont="1" applyBorder="1"/>
    <xf numFmtId="1" fontId="105" fillId="0" borderId="97" xfId="25" applyNumberFormat="1" applyFont="1" applyBorder="1"/>
    <xf numFmtId="3" fontId="105" fillId="0" borderId="97" xfId="25" applyNumberFormat="1" applyFont="1" applyBorder="1"/>
    <xf numFmtId="172" fontId="105" fillId="0" borderId="97" xfId="25" applyNumberFormat="1" applyFont="1" applyBorder="1"/>
    <xf numFmtId="173" fontId="105" fillId="0" borderId="97" xfId="25" applyNumberFormat="1" applyFont="1" applyBorder="1"/>
    <xf numFmtId="0" fontId="98" fillId="67" borderId="97" xfId="25" applyFont="1" applyFill="1" applyBorder="1"/>
    <xf numFmtId="1" fontId="98" fillId="67" borderId="97" xfId="25" applyNumberFormat="1" applyFont="1" applyFill="1" applyBorder="1"/>
    <xf numFmtId="3" fontId="98" fillId="67" borderId="97" xfId="25" applyNumberFormat="1" applyFont="1" applyFill="1" applyBorder="1"/>
    <xf numFmtId="173" fontId="98" fillId="67" borderId="97" xfId="25" applyNumberFormat="1" applyFont="1" applyFill="1" applyBorder="1"/>
    <xf numFmtId="0" fontId="98" fillId="68" borderId="97" xfId="25" applyFont="1" applyFill="1" applyBorder="1"/>
    <xf numFmtId="1" fontId="98" fillId="68" borderId="97" xfId="25" applyNumberFormat="1" applyFont="1" applyFill="1" applyBorder="1"/>
    <xf numFmtId="3" fontId="98" fillId="68" borderId="97" xfId="25" applyNumberFormat="1" applyFont="1" applyFill="1" applyBorder="1"/>
    <xf numFmtId="173" fontId="98" fillId="68" borderId="97" xfId="25" applyNumberFormat="1" applyFont="1" applyFill="1" applyBorder="1"/>
    <xf numFmtId="173" fontId="92" fillId="0" borderId="19" xfId="25" applyNumberFormat="1"/>
    <xf numFmtId="0" fontId="6" fillId="0" borderId="19" xfId="0" applyFont="1" applyBorder="1" applyAlignment="1">
      <alignment horizontal="right"/>
    </xf>
    <xf numFmtId="0" fontId="16" fillId="62" borderId="19" xfId="25" applyFont="1" applyFill="1" applyAlignment="1">
      <alignment horizontal="center" vertical="center" wrapText="1"/>
    </xf>
    <xf numFmtId="0" fontId="86" fillId="0" borderId="97" xfId="25" applyFont="1" applyBorder="1"/>
    <xf numFmtId="0" fontId="106" fillId="0" borderId="97" xfId="25" applyFont="1" applyBorder="1" applyAlignment="1">
      <alignment wrapText="1"/>
    </xf>
    <xf numFmtId="41" fontId="1" fillId="0" borderId="19" xfId="21" applyNumberFormat="1"/>
    <xf numFmtId="0" fontId="14" fillId="0" borderId="0" xfId="0" applyFont="1" applyAlignment="1">
      <alignment horizontal="left"/>
    </xf>
    <xf numFmtId="0" fontId="0" fillId="0" borderId="0" xfId="0"/>
    <xf numFmtId="0" fontId="38" fillId="23" borderId="42" xfId="0" applyFont="1" applyFill="1" applyBorder="1" applyAlignment="1">
      <alignment horizontal="center"/>
    </xf>
    <xf numFmtId="0" fontId="38" fillId="23" borderId="43" xfId="0" applyFont="1" applyFill="1" applyBorder="1" applyAlignment="1">
      <alignment horizontal="center"/>
    </xf>
    <xf numFmtId="0" fontId="38" fillId="23" borderId="4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13" fillId="0" borderId="4" xfId="0" applyFont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56" fillId="31" borderId="51" xfId="0" applyFont="1" applyFill="1" applyBorder="1" applyAlignment="1">
      <alignment horizontal="center"/>
    </xf>
    <xf numFmtId="0" fontId="56" fillId="31" borderId="52" xfId="0" applyFont="1" applyFill="1" applyBorder="1" applyAlignment="1">
      <alignment horizontal="center"/>
    </xf>
    <xf numFmtId="0" fontId="56" fillId="31" borderId="53" xfId="0" applyFont="1" applyFill="1" applyBorder="1" applyAlignment="1">
      <alignment horizontal="center"/>
    </xf>
    <xf numFmtId="0" fontId="16" fillId="60" borderId="51" xfId="0" applyFont="1" applyFill="1" applyBorder="1" applyAlignment="1">
      <alignment horizontal="center"/>
    </xf>
    <xf numFmtId="0" fontId="16" fillId="60" borderId="52" xfId="0" applyFont="1" applyFill="1" applyBorder="1" applyAlignment="1">
      <alignment horizontal="center"/>
    </xf>
    <xf numFmtId="0" fontId="16" fillId="60" borderId="53" xfId="0" applyFont="1" applyFill="1" applyBorder="1" applyAlignment="1">
      <alignment horizontal="center"/>
    </xf>
    <xf numFmtId="0" fontId="38" fillId="22" borderId="39" xfId="0" applyFont="1" applyFill="1" applyBorder="1" applyAlignment="1">
      <alignment horizontal="center"/>
    </xf>
    <xf numFmtId="0" fontId="38" fillId="22" borderId="40" xfId="0" applyFont="1" applyFill="1" applyBorder="1" applyAlignment="1">
      <alignment horizontal="center"/>
    </xf>
    <xf numFmtId="0" fontId="38" fillId="22" borderId="41" xfId="0" applyFont="1" applyFill="1" applyBorder="1" applyAlignment="1">
      <alignment horizontal="center"/>
    </xf>
    <xf numFmtId="0" fontId="38" fillId="23" borderId="35" xfId="0" applyFont="1" applyFill="1" applyBorder="1" applyAlignment="1">
      <alignment horizontal="center"/>
    </xf>
    <xf numFmtId="0" fontId="38" fillId="23" borderId="36" xfId="0" applyFont="1" applyFill="1" applyBorder="1" applyAlignment="1">
      <alignment horizontal="center"/>
    </xf>
    <xf numFmtId="0" fontId="38" fillId="23" borderId="37" xfId="0" applyFont="1" applyFill="1" applyBorder="1" applyAlignment="1">
      <alignment horizontal="center"/>
    </xf>
    <xf numFmtId="0" fontId="25" fillId="58" borderId="35" xfId="16" applyFont="1" applyFill="1" applyBorder="1" applyAlignment="1">
      <alignment horizontal="center" vertical="center"/>
    </xf>
    <xf numFmtId="0" fontId="25" fillId="58" borderId="36" xfId="16" applyFont="1" applyFill="1" applyBorder="1" applyAlignment="1">
      <alignment horizontal="center" vertical="center"/>
    </xf>
    <xf numFmtId="0" fontId="25" fillId="58" borderId="37" xfId="16" applyFont="1" applyFill="1" applyBorder="1" applyAlignment="1">
      <alignment horizontal="center" vertical="center"/>
    </xf>
    <xf numFmtId="0" fontId="25" fillId="33" borderId="35" xfId="16" applyFont="1" applyFill="1" applyBorder="1" applyAlignment="1">
      <alignment horizontal="center" vertical="center"/>
    </xf>
    <xf numFmtId="0" fontId="25" fillId="33" borderId="36" xfId="16" applyFont="1" applyFill="1" applyBorder="1" applyAlignment="1">
      <alignment horizontal="center" vertical="center"/>
    </xf>
    <xf numFmtId="0" fontId="25" fillId="33" borderId="37" xfId="16" applyFont="1" applyFill="1" applyBorder="1" applyAlignment="1">
      <alignment horizontal="center" vertical="center"/>
    </xf>
    <xf numFmtId="0" fontId="25" fillId="50" borderId="35" xfId="16" applyFont="1" applyFill="1" applyBorder="1" applyAlignment="1">
      <alignment horizontal="center" vertical="center"/>
    </xf>
    <xf numFmtId="0" fontId="25" fillId="50" borderId="36" xfId="16" applyFont="1" applyFill="1" applyBorder="1" applyAlignment="1">
      <alignment horizontal="center" vertical="center"/>
    </xf>
    <xf numFmtId="0" fontId="25" fillId="50" borderId="37" xfId="16" applyFont="1" applyFill="1" applyBorder="1" applyAlignment="1">
      <alignment horizontal="center" vertical="center"/>
    </xf>
    <xf numFmtId="0" fontId="25" fillId="0" borderId="19" xfId="16" applyFont="1" applyAlignment="1">
      <alignment horizontal="center" vertical="center"/>
    </xf>
    <xf numFmtId="0" fontId="25" fillId="53" borderId="35" xfId="16" applyFont="1" applyFill="1" applyBorder="1" applyAlignment="1">
      <alignment horizontal="center" vertical="center"/>
    </xf>
    <xf numFmtId="0" fontId="25" fillId="53" borderId="36" xfId="16" applyFont="1" applyFill="1" applyBorder="1" applyAlignment="1">
      <alignment horizontal="center" vertical="center"/>
    </xf>
    <xf numFmtId="0" fontId="25" fillId="53" borderId="37" xfId="16" applyFont="1" applyFill="1" applyBorder="1" applyAlignment="1">
      <alignment horizontal="center" vertical="center"/>
    </xf>
    <xf numFmtId="0" fontId="25" fillId="52" borderId="35" xfId="16" applyFont="1" applyFill="1" applyBorder="1" applyAlignment="1">
      <alignment horizontal="center" vertical="center"/>
    </xf>
    <xf numFmtId="0" fontId="25" fillId="52" borderId="36" xfId="16" applyFont="1" applyFill="1" applyBorder="1" applyAlignment="1">
      <alignment horizontal="center" vertical="center"/>
    </xf>
    <xf numFmtId="0" fontId="25" fillId="52" borderId="37" xfId="16" applyFont="1" applyFill="1" applyBorder="1" applyAlignment="1">
      <alignment horizontal="center" vertical="center"/>
    </xf>
    <xf numFmtId="0" fontId="25" fillId="55" borderId="35" xfId="16" applyFont="1" applyFill="1" applyBorder="1" applyAlignment="1">
      <alignment horizontal="center" vertical="center"/>
    </xf>
    <xf numFmtId="0" fontId="25" fillId="55" borderId="36" xfId="16" applyFont="1" applyFill="1" applyBorder="1" applyAlignment="1">
      <alignment horizontal="center" vertical="center"/>
    </xf>
    <xf numFmtId="0" fontId="25" fillId="55" borderId="37" xfId="16" applyFont="1" applyFill="1" applyBorder="1" applyAlignment="1">
      <alignment horizontal="center" vertical="center"/>
    </xf>
    <xf numFmtId="0" fontId="59" fillId="0" borderId="76" xfId="15" applyFont="1" applyBorder="1" applyAlignment="1">
      <alignment horizontal="center" vertical="center"/>
    </xf>
    <xf numFmtId="0" fontId="59" fillId="0" borderId="78" xfId="15" applyFont="1" applyBorder="1" applyAlignment="1">
      <alignment horizontal="center" vertical="center"/>
    </xf>
    <xf numFmtId="8" fontId="59" fillId="0" borderId="76" xfId="15" applyNumberFormat="1" applyFont="1" applyBorder="1" applyAlignment="1">
      <alignment horizontal="center" vertical="center"/>
    </xf>
    <xf numFmtId="8" fontId="59" fillId="0" borderId="78" xfId="15" applyNumberFormat="1" applyFont="1" applyBorder="1" applyAlignment="1">
      <alignment horizontal="center" vertical="center"/>
    </xf>
    <xf numFmtId="0" fontId="60" fillId="0" borderId="45" xfId="15" applyFont="1" applyBorder="1" applyAlignment="1">
      <alignment horizontal="center" vertical="center"/>
    </xf>
    <xf numFmtId="0" fontId="60" fillId="0" borderId="77" xfId="15" applyFont="1" applyBorder="1" applyAlignment="1">
      <alignment horizontal="center" vertical="center"/>
    </xf>
    <xf numFmtId="8" fontId="59" fillId="39" borderId="76" xfId="15" applyNumberFormat="1" applyFont="1" applyFill="1" applyBorder="1" applyAlignment="1">
      <alignment horizontal="center" vertical="center"/>
    </xf>
    <xf numFmtId="8" fontId="59" fillId="39" borderId="78" xfId="15" applyNumberFormat="1" applyFont="1" applyFill="1" applyBorder="1" applyAlignment="1">
      <alignment horizontal="center" vertical="center"/>
    </xf>
    <xf numFmtId="0" fontId="59" fillId="0" borderId="76" xfId="21" applyFont="1" applyBorder="1" applyAlignment="1">
      <alignment horizontal="center" vertical="center"/>
    </xf>
    <xf numFmtId="0" fontId="59" fillId="0" borderId="78" xfId="21" applyFont="1" applyBorder="1" applyAlignment="1">
      <alignment horizontal="center" vertical="center"/>
    </xf>
    <xf numFmtId="44" fontId="59" fillId="0" borderId="76" xfId="21" applyNumberFormat="1" applyFont="1" applyBorder="1" applyAlignment="1">
      <alignment horizontal="center" vertical="center"/>
    </xf>
    <xf numFmtId="8" fontId="59" fillId="0" borderId="78" xfId="21" applyNumberFormat="1" applyFont="1" applyBorder="1" applyAlignment="1">
      <alignment horizontal="center" vertical="center"/>
    </xf>
    <xf numFmtId="44" fontId="59" fillId="39" borderId="76" xfId="21" applyNumberFormat="1" applyFont="1" applyFill="1" applyBorder="1" applyAlignment="1">
      <alignment horizontal="center" vertical="center"/>
    </xf>
    <xf numFmtId="8" fontId="59" fillId="39" borderId="78" xfId="21" applyNumberFormat="1" applyFont="1" applyFill="1" applyBorder="1" applyAlignment="1">
      <alignment horizontal="center" vertical="center"/>
    </xf>
    <xf numFmtId="8" fontId="59" fillId="0" borderId="76" xfId="21" applyNumberFormat="1" applyFont="1" applyBorder="1" applyAlignment="1">
      <alignment horizontal="center" vertical="center"/>
    </xf>
    <xf numFmtId="0" fontId="60" fillId="0" borderId="77" xfId="21" applyFont="1" applyBorder="1" applyAlignment="1">
      <alignment horizontal="center" vertical="center"/>
    </xf>
    <xf numFmtId="0" fontId="60" fillId="0" borderId="45" xfId="21" applyFont="1" applyBorder="1" applyAlignment="1">
      <alignment horizontal="center" vertical="center"/>
    </xf>
    <xf numFmtId="0" fontId="59" fillId="0" borderId="19" xfId="21" applyFont="1" applyAlignment="1">
      <alignment horizontal="center" vertical="center"/>
    </xf>
    <xf numFmtId="44" fontId="59" fillId="0" borderId="19" xfId="21" applyNumberFormat="1" applyFont="1" applyAlignment="1">
      <alignment horizontal="center" vertical="center"/>
    </xf>
    <xf numFmtId="8" fontId="59" fillId="0" borderId="19" xfId="21" applyNumberFormat="1" applyFont="1" applyAlignment="1">
      <alignment horizontal="center" vertical="center"/>
    </xf>
    <xf numFmtId="0" fontId="68" fillId="41" borderId="80" xfId="20" applyFont="1" applyFill="1" applyBorder="1" applyAlignment="1">
      <alignment horizontal="center"/>
    </xf>
    <xf numFmtId="0" fontId="68" fillId="41" borderId="81" xfId="20" applyFont="1" applyFill="1" applyBorder="1" applyAlignment="1">
      <alignment horizontal="center"/>
    </xf>
    <xf numFmtId="0" fontId="38" fillId="22" borderId="35" xfId="0" applyFont="1" applyFill="1" applyBorder="1" applyAlignment="1">
      <alignment horizontal="center"/>
    </xf>
    <xf numFmtId="0" fontId="38" fillId="22" borderId="36" xfId="0" applyFont="1" applyFill="1" applyBorder="1" applyAlignment="1">
      <alignment horizontal="center"/>
    </xf>
    <xf numFmtId="0" fontId="38" fillId="22" borderId="37" xfId="0" applyFont="1" applyFill="1" applyBorder="1" applyAlignment="1">
      <alignment horizontal="center"/>
    </xf>
    <xf numFmtId="0" fontId="71" fillId="40" borderId="47" xfId="20" applyFont="1" applyFill="1" applyBorder="1"/>
    <xf numFmtId="0" fontId="71" fillId="40" borderId="48" xfId="20" applyFont="1" applyFill="1" applyBorder="1"/>
    <xf numFmtId="0" fontId="71" fillId="40" borderId="85" xfId="20" applyFont="1" applyFill="1" applyBorder="1"/>
    <xf numFmtId="0" fontId="66" fillId="40" borderId="47" xfId="20" applyFont="1" applyFill="1" applyBorder="1"/>
    <xf numFmtId="0" fontId="66" fillId="40" borderId="48" xfId="20" applyFont="1" applyFill="1" applyBorder="1"/>
    <xf numFmtId="0" fontId="66" fillId="40" borderId="85" xfId="20" applyFont="1" applyFill="1" applyBorder="1"/>
    <xf numFmtId="0" fontId="72" fillId="44" borderId="47" xfId="20" applyFont="1" applyFill="1" applyBorder="1"/>
    <xf numFmtId="0" fontId="72" fillId="44" borderId="48" xfId="20" applyFont="1" applyFill="1" applyBorder="1"/>
    <xf numFmtId="0" fontId="72" fillId="44" borderId="85" xfId="20" applyFont="1" applyFill="1" applyBorder="1"/>
    <xf numFmtId="0" fontId="48" fillId="23" borderId="49" xfId="8" applyFont="1" applyFill="1" applyBorder="1" applyAlignment="1">
      <alignment horizontal="center"/>
    </xf>
    <xf numFmtId="0" fontId="50" fillId="0" borderId="19" xfId="8" applyFont="1" applyAlignment="1">
      <alignment horizontal="left"/>
    </xf>
    <xf numFmtId="0" fontId="3" fillId="0" borderId="19" xfId="8" applyAlignment="1">
      <alignment horizontal="left"/>
    </xf>
    <xf numFmtId="0" fontId="93" fillId="64" borderId="19" xfId="25" applyFont="1" applyFill="1" applyAlignment="1">
      <alignment wrapText="1"/>
    </xf>
    <xf numFmtId="0" fontId="99" fillId="0" borderId="19" xfId="25" applyFont="1" applyAlignment="1">
      <alignment wrapText="1"/>
    </xf>
    <xf numFmtId="0" fontId="100" fillId="63" borderId="19" xfId="25" applyFont="1" applyFill="1" applyAlignment="1">
      <alignment wrapText="1"/>
    </xf>
    <xf numFmtId="0" fontId="103" fillId="0" borderId="19" xfId="25" applyFont="1"/>
    <xf numFmtId="0" fontId="98" fillId="0" borderId="19" xfId="25" applyFont="1"/>
    <xf numFmtId="0" fontId="93" fillId="0" borderId="19" xfId="25" applyFont="1" applyAlignment="1">
      <alignment wrapText="1"/>
    </xf>
    <xf numFmtId="0" fontId="25" fillId="6" borderId="25" xfId="0" applyFont="1" applyFill="1" applyBorder="1" applyAlignment="1">
      <alignment horizontal="center"/>
    </xf>
    <xf numFmtId="0" fontId="8" fillId="0" borderId="27" xfId="0" applyFont="1" applyBorder="1"/>
    <xf numFmtId="0" fontId="8" fillId="0" borderId="26" xfId="0" applyFont="1" applyBorder="1"/>
    <xf numFmtId="0" fontId="7" fillId="0" borderId="0" xfId="0" applyFont="1" applyAlignment="1">
      <alignment horizontal="left"/>
    </xf>
    <xf numFmtId="0" fontId="30" fillId="6" borderId="25" xfId="0" applyFont="1" applyFill="1" applyBorder="1" applyAlignment="1">
      <alignment horizontal="center" vertical="center"/>
    </xf>
    <xf numFmtId="0" fontId="25" fillId="17" borderId="1" xfId="0" applyFont="1" applyFill="1" applyBorder="1" applyAlignment="1">
      <alignment horizontal="center"/>
    </xf>
    <xf numFmtId="0" fontId="25" fillId="16" borderId="25" xfId="0" applyFont="1" applyFill="1" applyBorder="1" applyAlignment="1">
      <alignment horizontal="center"/>
    </xf>
    <xf numFmtId="0" fontId="25" fillId="15" borderId="25" xfId="0" applyFont="1" applyFill="1" applyBorder="1" applyAlignment="1">
      <alignment horizontal="center"/>
    </xf>
    <xf numFmtId="0" fontId="32" fillId="19" borderId="1" xfId="0" applyFont="1" applyFill="1" applyBorder="1" applyAlignment="1">
      <alignment horizontal="center"/>
    </xf>
  </cellXfs>
  <cellStyles count="26">
    <cellStyle name="Comma" xfId="1" builtinId="3"/>
    <cellStyle name="Comma 2" xfId="5" xr:uid="{6C598C5E-E930-4392-AD17-04D263B5A248}"/>
    <cellStyle name="Comma 3" xfId="9" xr:uid="{B60F4D90-F5F5-4732-BF3A-70D49438232A}"/>
    <cellStyle name="Comma 4" xfId="19" xr:uid="{2EFEAB88-212C-4D54-9E86-D695AAD3E140}"/>
    <cellStyle name="Comma 4 2" xfId="24" xr:uid="{53BB7FED-3EF9-744F-8162-424E44B80D07}"/>
    <cellStyle name="Currency" xfId="2" builtinId="4"/>
    <cellStyle name="Currency 2" xfId="7" xr:uid="{AA955188-F3A1-4DEC-A024-9119E95DA408}"/>
    <cellStyle name="Currency 3" xfId="11" xr:uid="{A0FC9E37-180D-403C-BDCF-63F44E2FEB31}"/>
    <cellStyle name="Currency 4" xfId="17" xr:uid="{548669A5-28F3-41AF-ADC2-776AB74A618C}"/>
    <cellStyle name="Currency 4 2" xfId="22" xr:uid="{900A2CBF-A13B-474E-BC54-E4DF41661F0D}"/>
    <cellStyle name="Good 2" xfId="13" xr:uid="{5B03CC71-0CF8-4F4F-B78E-4B1AFCFFF7CD}"/>
    <cellStyle name="Normal" xfId="0" builtinId="0"/>
    <cellStyle name="Normal 2" xfId="4" xr:uid="{BC9778AD-9628-49FF-BD96-1BC30AE37E53}"/>
    <cellStyle name="Normal 3" xfId="8" xr:uid="{D5171FF6-426F-4DBF-BF62-53FA47A699A6}"/>
    <cellStyle name="Normal 4" xfId="12" xr:uid="{7DAFC0C5-499F-42C3-A5F6-5AF66B7D651C}"/>
    <cellStyle name="Normal 4 2" xfId="16" xr:uid="{56B41D35-A819-4304-B23C-5BC39DD1F6D2}"/>
    <cellStyle name="Normal 5" xfId="15" xr:uid="{3046CC19-3C5B-4893-9E18-E1DF109F47D8}"/>
    <cellStyle name="Normal 5 2" xfId="21" xr:uid="{8F6F2AD7-FEEC-854D-AB93-62EB68381D67}"/>
    <cellStyle name="Normal 6" xfId="20" xr:uid="{C64C201B-6D3E-4BA0-92B5-668D778C51ED}"/>
    <cellStyle name="Normal 7" xfId="25" xr:uid="{4478D579-FAAF-9148-95E2-7566DEDFF9ED}"/>
    <cellStyle name="Percent" xfId="3" builtinId="5"/>
    <cellStyle name="Percent 2" xfId="6" xr:uid="{CC527AAA-52E6-42AD-BB39-4E59C2D6138C}"/>
    <cellStyle name="Percent 3" xfId="10" xr:uid="{F85E41C8-B702-40F2-AE90-F8B5BCB496F8}"/>
    <cellStyle name="Percent 4" xfId="14" xr:uid="{1BBAF69B-BCFF-4C40-8226-38D82B3C3277}"/>
    <cellStyle name="Percent 5" xfId="18" xr:uid="{33C99347-DB9F-43FF-9106-0A9912C01028}"/>
    <cellStyle name="Percent 5 2" xfId="23" xr:uid="{24A986F4-562A-364A-8A1A-BF8906A03A89}"/>
  </cellStyles>
  <dxfs count="6"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Breakeven Cash Flow Chart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Expenses</c:v>
          </c:tx>
          <c:spPr>
            <a:ln w="28575"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Breakeven!$A$6:$A$65</c:f>
              <c:strCache>
                <c:ptCount val="60"/>
                <c:pt idx="0">
                  <c:v>Month 1</c:v>
                </c:pt>
                <c:pt idx="1">
                  <c:v>Month 2</c:v>
                </c:pt>
                <c:pt idx="2">
                  <c:v>Month 3</c:v>
                </c:pt>
                <c:pt idx="3">
                  <c:v>Month 4</c:v>
                </c:pt>
                <c:pt idx="4">
                  <c:v>Month 5</c:v>
                </c:pt>
                <c:pt idx="5">
                  <c:v>Month 6</c:v>
                </c:pt>
                <c:pt idx="6">
                  <c:v>Month 7</c:v>
                </c:pt>
                <c:pt idx="7">
                  <c:v>Month 8</c:v>
                </c:pt>
                <c:pt idx="8">
                  <c:v>Month 9</c:v>
                </c:pt>
                <c:pt idx="9">
                  <c:v>Month 10</c:v>
                </c:pt>
                <c:pt idx="10">
                  <c:v>Month 11</c:v>
                </c:pt>
                <c:pt idx="11">
                  <c:v>Month 12</c:v>
                </c:pt>
                <c:pt idx="12">
                  <c:v>Month 13</c:v>
                </c:pt>
                <c:pt idx="13">
                  <c:v>Month 14</c:v>
                </c:pt>
                <c:pt idx="14">
                  <c:v>Month 15</c:v>
                </c:pt>
                <c:pt idx="15">
                  <c:v>Month 16</c:v>
                </c:pt>
                <c:pt idx="16">
                  <c:v>Month 17</c:v>
                </c:pt>
                <c:pt idx="17">
                  <c:v>Month 18</c:v>
                </c:pt>
                <c:pt idx="18">
                  <c:v>Month 19</c:v>
                </c:pt>
                <c:pt idx="19">
                  <c:v>Month 20</c:v>
                </c:pt>
                <c:pt idx="20">
                  <c:v>Month 21</c:v>
                </c:pt>
                <c:pt idx="21">
                  <c:v>Month 22</c:v>
                </c:pt>
                <c:pt idx="22">
                  <c:v>Month 23</c:v>
                </c:pt>
                <c:pt idx="23">
                  <c:v>Month 24</c:v>
                </c:pt>
                <c:pt idx="24">
                  <c:v>Month 25</c:v>
                </c:pt>
                <c:pt idx="25">
                  <c:v>Month 26</c:v>
                </c:pt>
                <c:pt idx="26">
                  <c:v>Month 27</c:v>
                </c:pt>
                <c:pt idx="27">
                  <c:v>Month 28</c:v>
                </c:pt>
                <c:pt idx="28">
                  <c:v>Month 29</c:v>
                </c:pt>
                <c:pt idx="29">
                  <c:v>Month 30</c:v>
                </c:pt>
                <c:pt idx="30">
                  <c:v>Month 31</c:v>
                </c:pt>
                <c:pt idx="31">
                  <c:v>Month 32</c:v>
                </c:pt>
                <c:pt idx="32">
                  <c:v>Month 33</c:v>
                </c:pt>
                <c:pt idx="33">
                  <c:v>Month 34</c:v>
                </c:pt>
                <c:pt idx="34">
                  <c:v>Month 35</c:v>
                </c:pt>
                <c:pt idx="35">
                  <c:v>Month 36</c:v>
                </c:pt>
                <c:pt idx="36">
                  <c:v>Month 37</c:v>
                </c:pt>
                <c:pt idx="37">
                  <c:v>Month 38</c:v>
                </c:pt>
                <c:pt idx="38">
                  <c:v>Month 39</c:v>
                </c:pt>
                <c:pt idx="39">
                  <c:v>Month 40</c:v>
                </c:pt>
                <c:pt idx="40">
                  <c:v>Month 41</c:v>
                </c:pt>
                <c:pt idx="41">
                  <c:v>Month 42</c:v>
                </c:pt>
                <c:pt idx="42">
                  <c:v>Month 43</c:v>
                </c:pt>
                <c:pt idx="43">
                  <c:v>Month 44</c:v>
                </c:pt>
                <c:pt idx="44">
                  <c:v>Month 45</c:v>
                </c:pt>
                <c:pt idx="45">
                  <c:v>Month 46</c:v>
                </c:pt>
                <c:pt idx="46">
                  <c:v>Month 47</c:v>
                </c:pt>
                <c:pt idx="47">
                  <c:v>Month 48</c:v>
                </c:pt>
                <c:pt idx="48">
                  <c:v>Month 49</c:v>
                </c:pt>
                <c:pt idx="49">
                  <c:v>Month 50</c:v>
                </c:pt>
                <c:pt idx="50">
                  <c:v>Month 51</c:v>
                </c:pt>
                <c:pt idx="51">
                  <c:v>Month 52</c:v>
                </c:pt>
                <c:pt idx="52">
                  <c:v>Month 53</c:v>
                </c:pt>
                <c:pt idx="53">
                  <c:v>Month 54</c:v>
                </c:pt>
                <c:pt idx="54">
                  <c:v>Month 55</c:v>
                </c:pt>
                <c:pt idx="55">
                  <c:v>Month 56</c:v>
                </c:pt>
                <c:pt idx="56">
                  <c:v>Month 57</c:v>
                </c:pt>
                <c:pt idx="57">
                  <c:v>Month 58</c:v>
                </c:pt>
                <c:pt idx="58">
                  <c:v>Month 59</c:v>
                </c:pt>
                <c:pt idx="59">
                  <c:v>Month 60</c:v>
                </c:pt>
              </c:strCache>
            </c:strRef>
          </c:cat>
          <c:val>
            <c:numRef>
              <c:f>Breakeven!$C$6:$C$65</c:f>
              <c:numCache>
                <c:formatCode>"$"#,##0_);[Red]\("$"#,##0\)</c:formatCode>
                <c:ptCount val="60"/>
                <c:pt idx="0">
                  <c:v>-230440.83333333331</c:v>
                </c:pt>
                <c:pt idx="1">
                  <c:v>-262891.66666666669</c:v>
                </c:pt>
                <c:pt idx="2">
                  <c:v>-282181.41666666663</c:v>
                </c:pt>
                <c:pt idx="3">
                  <c:v>-324693.60416666663</c:v>
                </c:pt>
                <c:pt idx="4">
                  <c:v>-322007.42604166665</c:v>
                </c:pt>
                <c:pt idx="5">
                  <c:v>-320079.93901041668</c:v>
                </c:pt>
                <c:pt idx="6">
                  <c:v>-337307.4006276041</c:v>
                </c:pt>
                <c:pt idx="7">
                  <c:v>-309162.70051565103</c:v>
                </c:pt>
                <c:pt idx="8">
                  <c:v>-194530.66954380029</c:v>
                </c:pt>
                <c:pt idx="9">
                  <c:v>-304911.78829342802</c:v>
                </c:pt>
                <c:pt idx="10">
                  <c:v>-1152472.3997887103</c:v>
                </c:pt>
                <c:pt idx="11">
                  <c:v>-637782.4942311747</c:v>
                </c:pt>
                <c:pt idx="12">
                  <c:v>-2169362.2632051869</c:v>
                </c:pt>
                <c:pt idx="13">
                  <c:v>-1688612.039181123</c:v>
                </c:pt>
                <c:pt idx="14">
                  <c:v>-774858.02275307616</c:v>
                </c:pt>
                <c:pt idx="15">
                  <c:v>-6122504.3021013523</c:v>
                </c:pt>
                <c:pt idx="16">
                  <c:v>-662157.87284977478</c:v>
                </c:pt>
                <c:pt idx="17">
                  <c:v>-1124403.6339792197</c:v>
                </c:pt>
                <c:pt idx="18">
                  <c:v>-4184347.0476577971</c:v>
                </c:pt>
                <c:pt idx="19">
                  <c:v>-2026538.9995257515</c:v>
                </c:pt>
                <c:pt idx="20">
                  <c:v>-2441680.1423235736</c:v>
                </c:pt>
                <c:pt idx="21">
                  <c:v>-4044214.7250709673</c:v>
                </c:pt>
                <c:pt idx="22">
                  <c:v>-5814006.5312300082</c:v>
                </c:pt>
                <c:pt idx="23">
                  <c:v>-1273367.108106755</c:v>
                </c:pt>
                <c:pt idx="24">
                  <c:v>-5157572.3605649602</c:v>
                </c:pt>
                <c:pt idx="25">
                  <c:v>-1978798.2669930146</c:v>
                </c:pt>
                <c:pt idx="26">
                  <c:v>-1789738.0983699409</c:v>
                </c:pt>
                <c:pt idx="27">
                  <c:v>-2603964.374188547</c:v>
                </c:pt>
                <c:pt idx="28">
                  <c:v>-2615747.2723226808</c:v>
                </c:pt>
                <c:pt idx="29">
                  <c:v>-1845121.1663218874</c:v>
                </c:pt>
                <c:pt idx="30">
                  <c:v>-8415501.0288065523</c:v>
                </c:pt>
                <c:pt idx="31">
                  <c:v>-4805167.7930018473</c:v>
                </c:pt>
                <c:pt idx="32">
                  <c:v>-1817064.7521946793</c:v>
                </c:pt>
                <c:pt idx="33">
                  <c:v>-13427069.103755437</c:v>
                </c:pt>
                <c:pt idx="34">
                  <c:v>-3185458.0644953097</c:v>
                </c:pt>
                <c:pt idx="35">
                  <c:v>-2743612.8504361757</c:v>
                </c:pt>
                <c:pt idx="36">
                  <c:v>-3549858.0183989285</c:v>
                </c:pt>
                <c:pt idx="37">
                  <c:v>-2858825.5009252913</c:v>
                </c:pt>
                <c:pt idx="38">
                  <c:v>-2871942.0273257243</c:v>
                </c:pt>
                <c:pt idx="39">
                  <c:v>-3636016.4760652781</c:v>
                </c:pt>
                <c:pt idx="40">
                  <c:v>-3924783.3527522697</c:v>
                </c:pt>
                <c:pt idx="41">
                  <c:v>-2960526.0084160296</c:v>
                </c:pt>
                <c:pt idx="42">
                  <c:v>-11079993.25546157</c:v>
                </c:pt>
                <c:pt idx="43">
                  <c:v>-6526191.2142997319</c:v>
                </c:pt>
                <c:pt idx="44">
                  <c:v>-3021872.6847771052</c:v>
                </c:pt>
                <c:pt idx="45">
                  <c:v>-16689992.111602861</c:v>
                </c:pt>
                <c:pt idx="46">
                  <c:v>-4590877.2981167063</c:v>
                </c:pt>
                <c:pt idx="47">
                  <c:v>-4000774.4559371821</c:v>
                </c:pt>
                <c:pt idx="48">
                  <c:v>-5301482.8053756645</c:v>
                </c:pt>
                <c:pt idx="49">
                  <c:v>-4293752.3780325772</c:v>
                </c:pt>
                <c:pt idx="50">
                  <c:v>-4341252.8528385377</c:v>
                </c:pt>
                <c:pt idx="51">
                  <c:v>-5291676.5440103915</c:v>
                </c:pt>
                <c:pt idx="52">
                  <c:v>-6506712.4802542729</c:v>
                </c:pt>
                <c:pt idx="53">
                  <c:v>-5409871.4555145595</c:v>
                </c:pt>
                <c:pt idx="54">
                  <c:v>-14662183.498891743</c:v>
                </c:pt>
                <c:pt idx="55">
                  <c:v>-9866316.7441915534</c:v>
                </c:pt>
                <c:pt idx="56">
                  <c:v>-5648184.8100246526</c:v>
                </c:pt>
                <c:pt idx="57">
                  <c:v>-20479524.128447767</c:v>
                </c:pt>
                <c:pt idx="58">
                  <c:v>-6628912.0925957235</c:v>
                </c:pt>
                <c:pt idx="59">
                  <c:v>-6831894.222586181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9C-40D7-A327-0BDF329D666D}"/>
            </c:ext>
          </c:extLst>
        </c:ser>
        <c:ser>
          <c:idx val="1"/>
          <c:order val="1"/>
          <c:spPr>
            <a:ln w="28575" cmpd="sng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Breakeven!$A$6:$A$65</c:f>
              <c:strCache>
                <c:ptCount val="60"/>
                <c:pt idx="0">
                  <c:v>Month 1</c:v>
                </c:pt>
                <c:pt idx="1">
                  <c:v>Month 2</c:v>
                </c:pt>
                <c:pt idx="2">
                  <c:v>Month 3</c:v>
                </c:pt>
                <c:pt idx="3">
                  <c:v>Month 4</c:v>
                </c:pt>
                <c:pt idx="4">
                  <c:v>Month 5</c:v>
                </c:pt>
                <c:pt idx="5">
                  <c:v>Month 6</c:v>
                </c:pt>
                <c:pt idx="6">
                  <c:v>Month 7</c:v>
                </c:pt>
                <c:pt idx="7">
                  <c:v>Month 8</c:v>
                </c:pt>
                <c:pt idx="8">
                  <c:v>Month 9</c:v>
                </c:pt>
                <c:pt idx="9">
                  <c:v>Month 10</c:v>
                </c:pt>
                <c:pt idx="10">
                  <c:v>Month 11</c:v>
                </c:pt>
                <c:pt idx="11">
                  <c:v>Month 12</c:v>
                </c:pt>
                <c:pt idx="12">
                  <c:v>Month 13</c:v>
                </c:pt>
                <c:pt idx="13">
                  <c:v>Month 14</c:v>
                </c:pt>
                <c:pt idx="14">
                  <c:v>Month 15</c:v>
                </c:pt>
                <c:pt idx="15">
                  <c:v>Month 16</c:v>
                </c:pt>
                <c:pt idx="16">
                  <c:v>Month 17</c:v>
                </c:pt>
                <c:pt idx="17">
                  <c:v>Month 18</c:v>
                </c:pt>
                <c:pt idx="18">
                  <c:v>Month 19</c:v>
                </c:pt>
                <c:pt idx="19">
                  <c:v>Month 20</c:v>
                </c:pt>
                <c:pt idx="20">
                  <c:v>Month 21</c:v>
                </c:pt>
                <c:pt idx="21">
                  <c:v>Month 22</c:v>
                </c:pt>
                <c:pt idx="22">
                  <c:v>Month 23</c:v>
                </c:pt>
                <c:pt idx="23">
                  <c:v>Month 24</c:v>
                </c:pt>
                <c:pt idx="24">
                  <c:v>Month 25</c:v>
                </c:pt>
                <c:pt idx="25">
                  <c:v>Month 26</c:v>
                </c:pt>
                <c:pt idx="26">
                  <c:v>Month 27</c:v>
                </c:pt>
                <c:pt idx="27">
                  <c:v>Month 28</c:v>
                </c:pt>
                <c:pt idx="28">
                  <c:v>Month 29</c:v>
                </c:pt>
                <c:pt idx="29">
                  <c:v>Month 30</c:v>
                </c:pt>
                <c:pt idx="30">
                  <c:v>Month 31</c:v>
                </c:pt>
                <c:pt idx="31">
                  <c:v>Month 32</c:v>
                </c:pt>
                <c:pt idx="32">
                  <c:v>Month 33</c:v>
                </c:pt>
                <c:pt idx="33">
                  <c:v>Month 34</c:v>
                </c:pt>
                <c:pt idx="34">
                  <c:v>Month 35</c:v>
                </c:pt>
                <c:pt idx="35">
                  <c:v>Month 36</c:v>
                </c:pt>
                <c:pt idx="36">
                  <c:v>Month 37</c:v>
                </c:pt>
                <c:pt idx="37">
                  <c:v>Month 38</c:v>
                </c:pt>
                <c:pt idx="38">
                  <c:v>Month 39</c:v>
                </c:pt>
                <c:pt idx="39">
                  <c:v>Month 40</c:v>
                </c:pt>
                <c:pt idx="40">
                  <c:v>Month 41</c:v>
                </c:pt>
                <c:pt idx="41">
                  <c:v>Month 42</c:v>
                </c:pt>
                <c:pt idx="42">
                  <c:v>Month 43</c:v>
                </c:pt>
                <c:pt idx="43">
                  <c:v>Month 44</c:v>
                </c:pt>
                <c:pt idx="44">
                  <c:v>Month 45</c:v>
                </c:pt>
                <c:pt idx="45">
                  <c:v>Month 46</c:v>
                </c:pt>
                <c:pt idx="46">
                  <c:v>Month 47</c:v>
                </c:pt>
                <c:pt idx="47">
                  <c:v>Month 48</c:v>
                </c:pt>
                <c:pt idx="48">
                  <c:v>Month 49</c:v>
                </c:pt>
                <c:pt idx="49">
                  <c:v>Month 50</c:v>
                </c:pt>
                <c:pt idx="50">
                  <c:v>Month 51</c:v>
                </c:pt>
                <c:pt idx="51">
                  <c:v>Month 52</c:v>
                </c:pt>
                <c:pt idx="52">
                  <c:v>Month 53</c:v>
                </c:pt>
                <c:pt idx="53">
                  <c:v>Month 54</c:v>
                </c:pt>
                <c:pt idx="54">
                  <c:v>Month 55</c:v>
                </c:pt>
                <c:pt idx="55">
                  <c:v>Month 56</c:v>
                </c:pt>
                <c:pt idx="56">
                  <c:v>Month 57</c:v>
                </c:pt>
                <c:pt idx="57">
                  <c:v>Month 58</c:v>
                </c:pt>
                <c:pt idx="58">
                  <c:v>Month 59</c:v>
                </c:pt>
                <c:pt idx="59">
                  <c:v>Month 60</c:v>
                </c:pt>
              </c:strCache>
            </c:strRef>
          </c:cat>
          <c:val>
            <c:numRef>
              <c:f>Breakeven!$D$6:$D$41</c:f>
            </c:numRef>
          </c:val>
          <c:smooth val="0"/>
          <c:extLst>
            <c:ext xmlns:c16="http://schemas.microsoft.com/office/drawing/2014/chart" uri="{C3380CC4-5D6E-409C-BE32-E72D297353CC}">
              <c16:uniqueId val="{00000001-5D9C-40D7-A327-0BDF329D666D}"/>
            </c:ext>
          </c:extLst>
        </c:ser>
        <c:ser>
          <c:idx val="2"/>
          <c:order val="2"/>
          <c:spPr>
            <a:ln w="28575" cmpd="sng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Breakeven!$A$6:$A$65</c:f>
              <c:strCache>
                <c:ptCount val="60"/>
                <c:pt idx="0">
                  <c:v>Month 1</c:v>
                </c:pt>
                <c:pt idx="1">
                  <c:v>Month 2</c:v>
                </c:pt>
                <c:pt idx="2">
                  <c:v>Month 3</c:v>
                </c:pt>
                <c:pt idx="3">
                  <c:v>Month 4</c:v>
                </c:pt>
                <c:pt idx="4">
                  <c:v>Month 5</c:v>
                </c:pt>
                <c:pt idx="5">
                  <c:v>Month 6</c:v>
                </c:pt>
                <c:pt idx="6">
                  <c:v>Month 7</c:v>
                </c:pt>
                <c:pt idx="7">
                  <c:v>Month 8</c:v>
                </c:pt>
                <c:pt idx="8">
                  <c:v>Month 9</c:v>
                </c:pt>
                <c:pt idx="9">
                  <c:v>Month 10</c:v>
                </c:pt>
                <c:pt idx="10">
                  <c:v>Month 11</c:v>
                </c:pt>
                <c:pt idx="11">
                  <c:v>Month 12</c:v>
                </c:pt>
                <c:pt idx="12">
                  <c:v>Month 13</c:v>
                </c:pt>
                <c:pt idx="13">
                  <c:v>Month 14</c:v>
                </c:pt>
                <c:pt idx="14">
                  <c:v>Month 15</c:v>
                </c:pt>
                <c:pt idx="15">
                  <c:v>Month 16</c:v>
                </c:pt>
                <c:pt idx="16">
                  <c:v>Month 17</c:v>
                </c:pt>
                <c:pt idx="17">
                  <c:v>Month 18</c:v>
                </c:pt>
                <c:pt idx="18">
                  <c:v>Month 19</c:v>
                </c:pt>
                <c:pt idx="19">
                  <c:v>Month 20</c:v>
                </c:pt>
                <c:pt idx="20">
                  <c:v>Month 21</c:v>
                </c:pt>
                <c:pt idx="21">
                  <c:v>Month 22</c:v>
                </c:pt>
                <c:pt idx="22">
                  <c:v>Month 23</c:v>
                </c:pt>
                <c:pt idx="23">
                  <c:v>Month 24</c:v>
                </c:pt>
                <c:pt idx="24">
                  <c:v>Month 25</c:v>
                </c:pt>
                <c:pt idx="25">
                  <c:v>Month 26</c:v>
                </c:pt>
                <c:pt idx="26">
                  <c:v>Month 27</c:v>
                </c:pt>
                <c:pt idx="27">
                  <c:v>Month 28</c:v>
                </c:pt>
                <c:pt idx="28">
                  <c:v>Month 29</c:v>
                </c:pt>
                <c:pt idx="29">
                  <c:v>Month 30</c:v>
                </c:pt>
                <c:pt idx="30">
                  <c:v>Month 31</c:v>
                </c:pt>
                <c:pt idx="31">
                  <c:v>Month 32</c:v>
                </c:pt>
                <c:pt idx="32">
                  <c:v>Month 33</c:v>
                </c:pt>
                <c:pt idx="33">
                  <c:v>Month 34</c:v>
                </c:pt>
                <c:pt idx="34">
                  <c:v>Month 35</c:v>
                </c:pt>
                <c:pt idx="35">
                  <c:v>Month 36</c:v>
                </c:pt>
                <c:pt idx="36">
                  <c:v>Month 37</c:v>
                </c:pt>
                <c:pt idx="37">
                  <c:v>Month 38</c:v>
                </c:pt>
                <c:pt idx="38">
                  <c:v>Month 39</c:v>
                </c:pt>
                <c:pt idx="39">
                  <c:v>Month 40</c:v>
                </c:pt>
                <c:pt idx="40">
                  <c:v>Month 41</c:v>
                </c:pt>
                <c:pt idx="41">
                  <c:v>Month 42</c:v>
                </c:pt>
                <c:pt idx="42">
                  <c:v>Month 43</c:v>
                </c:pt>
                <c:pt idx="43">
                  <c:v>Month 44</c:v>
                </c:pt>
                <c:pt idx="44">
                  <c:v>Month 45</c:v>
                </c:pt>
                <c:pt idx="45">
                  <c:v>Month 46</c:v>
                </c:pt>
                <c:pt idx="46">
                  <c:v>Month 47</c:v>
                </c:pt>
                <c:pt idx="47">
                  <c:v>Month 48</c:v>
                </c:pt>
                <c:pt idx="48">
                  <c:v>Month 49</c:v>
                </c:pt>
                <c:pt idx="49">
                  <c:v>Month 50</c:v>
                </c:pt>
                <c:pt idx="50">
                  <c:v>Month 51</c:v>
                </c:pt>
                <c:pt idx="51">
                  <c:v>Month 52</c:v>
                </c:pt>
                <c:pt idx="52">
                  <c:v>Month 53</c:v>
                </c:pt>
                <c:pt idx="53">
                  <c:v>Month 54</c:v>
                </c:pt>
                <c:pt idx="54">
                  <c:v>Month 55</c:v>
                </c:pt>
                <c:pt idx="55">
                  <c:v>Month 56</c:v>
                </c:pt>
                <c:pt idx="56">
                  <c:v>Month 57</c:v>
                </c:pt>
                <c:pt idx="57">
                  <c:v>Month 58</c:v>
                </c:pt>
                <c:pt idx="58">
                  <c:v>Month 59</c:v>
                </c:pt>
                <c:pt idx="59">
                  <c:v>Month 60</c:v>
                </c:pt>
              </c:strCache>
            </c:strRef>
          </c:cat>
          <c:val>
            <c:numRef>
              <c:f>Breakeven!$E$6:$E$41</c:f>
            </c:numRef>
          </c:val>
          <c:smooth val="0"/>
          <c:extLst>
            <c:ext xmlns:c16="http://schemas.microsoft.com/office/drawing/2014/chart" uri="{C3380CC4-5D6E-409C-BE32-E72D297353CC}">
              <c16:uniqueId val="{00000002-5D9C-40D7-A327-0BDF329D6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4568033"/>
        <c:axId val="235505799"/>
      </c:lineChart>
      <c:catAx>
        <c:axId val="13045680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35505799"/>
        <c:crosses val="autoZero"/>
        <c:auto val="1"/>
        <c:lblAlgn val="ctr"/>
        <c:lblOffset val="100"/>
        <c:noMultiLvlLbl val="1"/>
      </c:catAx>
      <c:valAx>
        <c:axId val="23550579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&quot;$&quot;#,##0_);[Red]\(&quot;$&quot;#,##0\)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0456803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542925</xdr:colOff>
      <xdr:row>19</xdr:row>
      <xdr:rowOff>133350</xdr:rowOff>
    </xdr:from>
    <xdr:ext cx="1438275" cy="6191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636388" y="3475200"/>
          <a:ext cx="1419225" cy="609600"/>
        </a:xfrm>
        <a:prstGeom prst="ellipse">
          <a:avLst/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Auction</a:t>
          </a:r>
          <a:endParaRPr sz="1400"/>
        </a:p>
      </xdr:txBody>
    </xdr:sp>
    <xdr:clientData fLocksWithSheet="0"/>
  </xdr:oneCellAnchor>
  <xdr:oneCellAnchor>
    <xdr:from>
      <xdr:col>7</xdr:col>
      <xdr:colOff>180975</xdr:colOff>
      <xdr:row>19</xdr:row>
      <xdr:rowOff>161925</xdr:rowOff>
    </xdr:from>
    <xdr:ext cx="1390650" cy="6000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655438" y="3484725"/>
          <a:ext cx="1381125" cy="590550"/>
        </a:xfrm>
        <a:prstGeom prst="ellipse">
          <a:avLst/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Digital Cards</a:t>
          </a:r>
          <a:endParaRPr sz="1400"/>
        </a:p>
      </xdr:txBody>
    </xdr:sp>
    <xdr:clientData fLocksWithSheet="0"/>
  </xdr:oneCellAnchor>
  <xdr:oneCellAnchor>
    <xdr:from>
      <xdr:col>4</xdr:col>
      <xdr:colOff>438150</xdr:colOff>
      <xdr:row>19</xdr:row>
      <xdr:rowOff>152400</xdr:rowOff>
    </xdr:from>
    <xdr:ext cx="1381125" cy="6000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664963" y="3489488"/>
          <a:ext cx="1362075" cy="581025"/>
        </a:xfrm>
        <a:prstGeom prst="ellipse">
          <a:avLst/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Physical Cards</a:t>
          </a:r>
          <a:endParaRPr sz="1400"/>
        </a:p>
      </xdr:txBody>
    </xdr:sp>
    <xdr:clientData fLocksWithSheet="0"/>
  </xdr:oneCellAnchor>
  <xdr:oneCellAnchor>
    <xdr:from>
      <xdr:col>12</xdr:col>
      <xdr:colOff>257175</xdr:colOff>
      <xdr:row>19</xdr:row>
      <xdr:rowOff>133350</xdr:rowOff>
    </xdr:from>
    <xdr:ext cx="1390650" cy="6191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655438" y="3475200"/>
          <a:ext cx="1381125" cy="609600"/>
        </a:xfrm>
        <a:prstGeom prst="ellipse">
          <a:avLst/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Apparel</a:t>
          </a:r>
          <a:endParaRPr sz="1100"/>
        </a:p>
      </xdr:txBody>
    </xdr:sp>
    <xdr:clientData fLocksWithSheet="0"/>
  </xdr:oneCellAnchor>
  <xdr:oneCellAnchor>
    <xdr:from>
      <xdr:col>10</xdr:col>
      <xdr:colOff>0</xdr:colOff>
      <xdr:row>13</xdr:row>
      <xdr:rowOff>114300</xdr:rowOff>
    </xdr:from>
    <xdr:ext cx="2076450" cy="1181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235700" y="2590800"/>
          <a:ext cx="2076450" cy="1181100"/>
          <a:chOff x="4307775" y="3194213"/>
          <a:chExt cx="2076450" cy="1171575"/>
        </a:xfrm>
      </xdr:grpSpPr>
      <xdr:cxnSp macro="">
        <xdr:nvCxnSpPr>
          <xdr:cNvPr id="7" name="Shape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 rot="10800000">
            <a:off x="4307775" y="3194213"/>
            <a:ext cx="2076450" cy="1171575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9</xdr:col>
      <xdr:colOff>171450</xdr:colOff>
      <xdr:row>13</xdr:row>
      <xdr:rowOff>142875</xdr:rowOff>
    </xdr:from>
    <xdr:ext cx="1114425" cy="120015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5759450" y="2619375"/>
          <a:ext cx="1114425" cy="1200150"/>
          <a:chOff x="4793550" y="3180075"/>
          <a:chExt cx="1104900" cy="1200000"/>
        </a:xfrm>
      </xdr:grpSpPr>
      <xdr:cxnSp macro="">
        <xdr:nvCxnSpPr>
          <xdr:cNvPr id="9" name="Shape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>
            <a:stCxn id="3" idx="0"/>
          </xdr:cNvCxnSpPr>
        </xdr:nvCxnSpPr>
        <xdr:spPr>
          <a:xfrm rot="10800000">
            <a:off x="4793550" y="3180075"/>
            <a:ext cx="1104900" cy="120000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8</xdr:col>
      <xdr:colOff>314325</xdr:colOff>
      <xdr:row>13</xdr:row>
      <xdr:rowOff>152400</xdr:rowOff>
    </xdr:from>
    <xdr:ext cx="85725" cy="116205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5318125" y="2628900"/>
          <a:ext cx="85725" cy="1162050"/>
          <a:chOff x="5303138" y="3203738"/>
          <a:chExt cx="85725" cy="1152525"/>
        </a:xfrm>
      </xdr:grpSpPr>
      <xdr:cxnSp macro="">
        <xdr:nvCxnSpPr>
          <xdr:cNvPr id="11" name="Shape 9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 rot="10800000" flipH="1">
            <a:off x="5303138" y="3203738"/>
            <a:ext cx="85725" cy="1152525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6</xdr:col>
      <xdr:colOff>9525</xdr:colOff>
      <xdr:row>13</xdr:row>
      <xdr:rowOff>123825</xdr:rowOff>
    </xdr:from>
    <xdr:ext cx="1266825" cy="120015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3844925" y="2600325"/>
          <a:ext cx="1266825" cy="1200150"/>
          <a:chOff x="4712588" y="3179925"/>
          <a:chExt cx="1266825" cy="1200150"/>
        </a:xfrm>
      </xdr:grpSpPr>
      <xdr:cxnSp macro="">
        <xdr:nvCxnSpPr>
          <xdr:cNvPr id="13" name="Shape 10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 rot="10800000" flipH="1">
            <a:off x="4712588" y="3179925"/>
            <a:ext cx="1266825" cy="120015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628650</xdr:colOff>
      <xdr:row>19</xdr:row>
      <xdr:rowOff>95250</xdr:rowOff>
    </xdr:from>
    <xdr:ext cx="1476375" cy="609600"/>
    <xdr:sp macro="" textlink="">
      <xdr:nvSpPr>
        <xdr:cNvPr id="14" name="Shape 1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617338" y="3479963"/>
          <a:ext cx="1457325" cy="600075"/>
        </a:xfrm>
        <a:prstGeom prst="ellipse">
          <a:avLst/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Athlete Service</a:t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13</xdr:row>
      <xdr:rowOff>66675</xdr:rowOff>
    </xdr:from>
    <xdr:ext cx="609600" cy="1152525"/>
    <xdr:grpSp>
      <xdr:nvGrpSpPr>
        <xdr:cNvPr id="15" name="Shape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/>
      </xdr:nvGrpSpPr>
      <xdr:grpSpPr>
        <a:xfrm>
          <a:off x="1447800" y="2543175"/>
          <a:ext cx="609600" cy="1152525"/>
          <a:chOff x="5041200" y="3208500"/>
          <a:chExt cx="609600" cy="1143000"/>
        </a:xfrm>
      </xdr:grpSpPr>
      <xdr:cxnSp macro="">
        <xdr:nvCxnSpPr>
          <xdr:cNvPr id="16" name="Shape 12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/>
        </xdr:nvCxnSpPr>
        <xdr:spPr>
          <a:xfrm rot="10800000" flipH="1">
            <a:off x="5041200" y="3208500"/>
            <a:ext cx="609600" cy="114300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1</xdr:row>
      <xdr:rowOff>9525</xdr:rowOff>
    </xdr:from>
    <xdr:ext cx="9496425" cy="48863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345D-1E76-4D58-9E35-AAF6801F8F9B}">
  <dimension ref="A1:J50"/>
  <sheetViews>
    <sheetView tabSelected="1" workbookViewId="0">
      <selection activeCell="E12" sqref="E12"/>
    </sheetView>
  </sheetViews>
  <sheetFormatPr baseColWidth="10" defaultColWidth="12.5" defaultRowHeight="15" customHeight="1"/>
  <cols>
    <col min="1" max="1" width="6.5" customWidth="1"/>
    <col min="2" max="2" width="2.6640625" customWidth="1"/>
    <col min="3" max="3" width="24.6640625" customWidth="1"/>
    <col min="4" max="4" width="8.33203125" bestFit="1" customWidth="1"/>
    <col min="5" max="5" width="11.33203125" bestFit="1" customWidth="1"/>
    <col min="6" max="14" width="8" customWidth="1"/>
  </cols>
  <sheetData>
    <row r="1" spans="1:10" ht="13.5" customHeight="1">
      <c r="A1" s="1125" t="s">
        <v>911</v>
      </c>
      <c r="B1" s="1125"/>
      <c r="C1" s="1125"/>
      <c r="D1" s="1125"/>
    </row>
    <row r="2" spans="1:10" ht="13.5" customHeight="1">
      <c r="A2" s="1125"/>
      <c r="B2" s="1125"/>
      <c r="C2" s="1125"/>
      <c r="D2" s="1125"/>
    </row>
    <row r="3" spans="1:10" ht="13.5" customHeight="1">
      <c r="A3" s="1125"/>
      <c r="B3" s="1125"/>
      <c r="C3" s="1125"/>
      <c r="D3" s="1125"/>
    </row>
    <row r="4" spans="1:10" ht="13.5" customHeight="1">
      <c r="A4" s="2"/>
      <c r="B4" s="2"/>
      <c r="C4" s="2"/>
    </row>
    <row r="5" spans="1:10" ht="13.5" customHeight="1" thickBot="1">
      <c r="A5" s="2"/>
      <c r="B5" s="2"/>
      <c r="C5" s="2"/>
    </row>
    <row r="6" spans="1:10" ht="15" customHeight="1" thickBot="1">
      <c r="A6" s="734" t="s">
        <v>29</v>
      </c>
      <c r="B6" s="735"/>
      <c r="C6" s="735"/>
      <c r="D6" s="736"/>
    </row>
    <row r="7" spans="1:10" ht="15" customHeight="1">
      <c r="A7" s="509" t="s">
        <v>731</v>
      </c>
      <c r="B7" s="510"/>
      <c r="C7" s="510"/>
      <c r="D7" s="511"/>
    </row>
    <row r="8" spans="1:10" ht="15" customHeight="1">
      <c r="A8" s="512"/>
      <c r="B8" s="513" t="s">
        <v>872</v>
      </c>
      <c r="C8" s="737"/>
      <c r="D8" s="738">
        <v>0.25</v>
      </c>
    </row>
    <row r="9" spans="1:10" ht="15" customHeight="1">
      <c r="A9" s="512"/>
      <c r="B9" s="513" t="s">
        <v>735</v>
      </c>
      <c r="C9" s="737"/>
      <c r="D9" s="738">
        <v>0.2</v>
      </c>
    </row>
    <row r="10" spans="1:10" ht="15" customHeight="1">
      <c r="A10" s="512"/>
      <c r="B10" s="513" t="s">
        <v>191</v>
      </c>
      <c r="C10" s="737"/>
      <c r="D10" s="738">
        <v>0.45</v>
      </c>
    </row>
    <row r="11" spans="1:10" ht="15" customHeight="1">
      <c r="A11" s="512"/>
      <c r="B11" s="513" t="s">
        <v>194</v>
      </c>
      <c r="C11" s="737"/>
      <c r="D11" s="738">
        <v>0.45</v>
      </c>
    </row>
    <row r="12" spans="1:10" ht="15" customHeight="1">
      <c r="A12" s="512"/>
      <c r="B12" s="513" t="s">
        <v>197</v>
      </c>
      <c r="C12" s="737"/>
      <c r="D12" s="738">
        <v>0.6</v>
      </c>
    </row>
    <row r="13" spans="1:10" ht="15" customHeight="1">
      <c r="A13" s="512" t="s">
        <v>732</v>
      </c>
      <c r="B13" s="520"/>
      <c r="C13" s="520"/>
      <c r="D13" s="521"/>
      <c r="G13" s="297"/>
      <c r="H13" s="297"/>
      <c r="I13" s="297"/>
      <c r="J13" s="297"/>
    </row>
    <row r="14" spans="1:10" ht="15" customHeight="1">
      <c r="A14" s="512"/>
      <c r="B14" s="513" t="s">
        <v>861</v>
      </c>
      <c r="C14" s="737"/>
      <c r="D14" s="738">
        <v>0.6</v>
      </c>
      <c r="G14" s="656"/>
      <c r="H14" s="969"/>
      <c r="I14" s="969"/>
      <c r="J14" s="297"/>
    </row>
    <row r="15" spans="1:10" ht="15" customHeight="1">
      <c r="A15" s="512"/>
      <c r="B15" s="513" t="s">
        <v>862</v>
      </c>
      <c r="C15" s="737"/>
      <c r="D15" s="738">
        <v>0.5</v>
      </c>
      <c r="G15" s="656"/>
      <c r="H15" s="969"/>
      <c r="I15" s="969"/>
      <c r="J15" s="297"/>
    </row>
    <row r="16" spans="1:10" ht="15" customHeight="1">
      <c r="A16" s="512"/>
      <c r="B16" s="513" t="s">
        <v>913</v>
      </c>
      <c r="C16" s="737"/>
      <c r="D16" s="738">
        <v>0.4</v>
      </c>
      <c r="G16" s="656"/>
      <c r="H16" s="969"/>
      <c r="I16" s="969"/>
      <c r="J16" s="297"/>
    </row>
    <row r="17" spans="1:10" ht="15" customHeight="1">
      <c r="A17" s="512"/>
      <c r="B17" s="513" t="s">
        <v>914</v>
      </c>
      <c r="C17" s="737"/>
      <c r="D17" s="738">
        <v>0.45</v>
      </c>
      <c r="G17" s="297"/>
      <c r="H17" s="297"/>
      <c r="I17" s="297"/>
      <c r="J17" s="297"/>
    </row>
    <row r="18" spans="1:10" ht="15" customHeight="1">
      <c r="A18" s="512"/>
      <c r="B18" s="513" t="s">
        <v>915</v>
      </c>
      <c r="C18" s="737"/>
      <c r="D18" s="738">
        <v>0.5</v>
      </c>
    </row>
    <row r="19" spans="1:10" ht="15" customHeight="1">
      <c r="A19" s="512"/>
      <c r="B19" s="513" t="s">
        <v>863</v>
      </c>
      <c r="C19" s="737"/>
      <c r="D19" s="738">
        <v>0.05</v>
      </c>
    </row>
    <row r="20" spans="1:10" ht="15" customHeight="1">
      <c r="A20" s="512"/>
      <c r="B20" s="513" t="s">
        <v>736</v>
      </c>
      <c r="C20" s="737"/>
      <c r="D20" s="738">
        <v>0.01</v>
      </c>
    </row>
    <row r="21" spans="1:10" ht="15" customHeight="1" thickBot="1">
      <c r="A21" s="516"/>
      <c r="B21" s="517" t="s">
        <v>729</v>
      </c>
      <c r="C21" s="739"/>
      <c r="D21" s="740">
        <v>0.5</v>
      </c>
    </row>
    <row r="22" spans="1:10" ht="15" customHeight="1">
      <c r="A22" s="656"/>
      <c r="B22" s="656"/>
      <c r="C22" s="657"/>
    </row>
    <row r="23" spans="1:10" ht="15" customHeight="1" thickBot="1"/>
    <row r="24" spans="1:10" ht="15" hidden="1" customHeight="1" thickBot="1">
      <c r="A24" s="1122" t="s">
        <v>912</v>
      </c>
      <c r="B24" s="1123"/>
      <c r="C24" s="1123"/>
      <c r="D24" s="1124"/>
    </row>
    <row r="25" spans="1:10" ht="15" hidden="1" customHeight="1">
      <c r="A25" s="509" t="s">
        <v>731</v>
      </c>
      <c r="B25" s="510"/>
      <c r="C25" s="510"/>
      <c r="D25" s="511"/>
    </row>
    <row r="26" spans="1:10" ht="15" hidden="1" customHeight="1">
      <c r="A26" s="512"/>
      <c r="B26" s="513" t="s">
        <v>734</v>
      </c>
      <c r="C26" s="514"/>
      <c r="D26" s="515">
        <v>0.13</v>
      </c>
    </row>
    <row r="27" spans="1:10" ht="15" hidden="1" customHeight="1">
      <c r="A27" s="512"/>
      <c r="B27" s="513" t="s">
        <v>735</v>
      </c>
      <c r="C27" s="514"/>
      <c r="D27" s="515">
        <v>0</v>
      </c>
    </row>
    <row r="28" spans="1:10" ht="15" hidden="1" customHeight="1">
      <c r="A28" s="512"/>
      <c r="B28" s="513"/>
      <c r="C28" s="514"/>
      <c r="D28" s="515"/>
    </row>
    <row r="29" spans="1:10" ht="15" hidden="1" customHeight="1">
      <c r="A29" s="512" t="s">
        <v>732</v>
      </c>
      <c r="B29" s="520"/>
      <c r="C29" s="520"/>
      <c r="D29" s="521"/>
    </row>
    <row r="30" spans="1:10" ht="15" hidden="1" customHeight="1">
      <c r="A30" s="512"/>
      <c r="B30" s="513" t="s">
        <v>861</v>
      </c>
      <c r="C30" s="514"/>
      <c r="D30" s="515">
        <v>0.6</v>
      </c>
    </row>
    <row r="31" spans="1:10" ht="15" hidden="1" customHeight="1">
      <c r="A31" s="512"/>
      <c r="B31" s="513" t="s">
        <v>862</v>
      </c>
      <c r="C31" s="514"/>
      <c r="D31" s="515">
        <v>0.5</v>
      </c>
    </row>
    <row r="32" spans="1:10" ht="15" hidden="1" customHeight="1">
      <c r="A32" s="512"/>
      <c r="B32" s="513" t="s">
        <v>863</v>
      </c>
      <c r="C32" s="514"/>
      <c r="D32" s="515">
        <v>0.05</v>
      </c>
    </row>
    <row r="33" spans="1:6" hidden="1">
      <c r="A33" s="512"/>
      <c r="B33" s="513" t="s">
        <v>736</v>
      </c>
      <c r="C33" s="514"/>
      <c r="D33" s="515">
        <v>0.01</v>
      </c>
    </row>
    <row r="34" spans="1:6" ht="16" hidden="1" thickBot="1">
      <c r="A34" s="516"/>
      <c r="B34" s="517" t="s">
        <v>729</v>
      </c>
      <c r="C34" s="518"/>
      <c r="D34" s="519">
        <v>0.4</v>
      </c>
    </row>
    <row r="35" spans="1:6" hidden="1">
      <c r="A35" s="656"/>
      <c r="B35" s="656"/>
      <c r="C35" s="657"/>
      <c r="D35" s="657"/>
    </row>
    <row r="36" spans="1:6" ht="16" hidden="1" thickBot="1"/>
    <row r="37" spans="1:6" ht="16" thickBot="1">
      <c r="A37" s="1122" t="s">
        <v>737</v>
      </c>
      <c r="B37" s="1123"/>
      <c r="C37" s="1123"/>
      <c r="D37" s="1124"/>
    </row>
    <row r="38" spans="1:6" ht="15" customHeight="1">
      <c r="A38" s="509" t="s">
        <v>732</v>
      </c>
      <c r="B38" s="522"/>
      <c r="C38" s="523"/>
      <c r="D38" s="524"/>
    </row>
    <row r="39" spans="1:6" ht="15" customHeight="1">
      <c r="A39" s="512"/>
      <c r="B39" s="513" t="s">
        <v>733</v>
      </c>
      <c r="C39" s="514"/>
      <c r="D39" s="515">
        <v>0.55000000000000004</v>
      </c>
    </row>
    <row r="40" spans="1:6" ht="15" customHeight="1">
      <c r="A40" s="512"/>
      <c r="B40" s="513" t="s">
        <v>864</v>
      </c>
      <c r="C40" s="514"/>
      <c r="D40" s="515">
        <v>0.45</v>
      </c>
    </row>
    <row r="41" spans="1:6" ht="15" customHeight="1" thickBot="1">
      <c r="A41" s="516"/>
      <c r="B41" s="517" t="s">
        <v>736</v>
      </c>
      <c r="C41" s="518"/>
      <c r="D41" s="525">
        <v>8.0000000000000002E-3</v>
      </c>
    </row>
    <row r="43" spans="1:6" ht="15" customHeight="1" thickBot="1"/>
    <row r="44" spans="1:6" ht="15" customHeight="1" thickBot="1">
      <c r="A44" s="971" t="s">
        <v>855</v>
      </c>
      <c r="B44" s="972"/>
      <c r="C44" s="972"/>
      <c r="D44" s="972"/>
      <c r="E44" s="972"/>
      <c r="F44" s="973"/>
    </row>
    <row r="45" spans="1:6" ht="15" customHeight="1">
      <c r="A45" s="526" t="s">
        <v>547</v>
      </c>
      <c r="B45" s="527"/>
      <c r="C45" s="959" t="s">
        <v>28</v>
      </c>
      <c r="D45" s="528" t="s">
        <v>27</v>
      </c>
      <c r="E45" s="528" t="s">
        <v>26</v>
      </c>
      <c r="F45" s="960" t="s">
        <v>25</v>
      </c>
    </row>
    <row r="46" spans="1:6" ht="15" customHeight="1">
      <c r="A46" s="961">
        <v>2026</v>
      </c>
      <c r="B46" s="962"/>
      <c r="C46" s="962">
        <v>2</v>
      </c>
      <c r="D46" s="963">
        <v>0</v>
      </c>
      <c r="E46" s="963">
        <v>0</v>
      </c>
      <c r="F46" s="964">
        <v>0</v>
      </c>
    </row>
    <row r="47" spans="1:6" ht="15" customHeight="1">
      <c r="A47" s="961">
        <v>2027</v>
      </c>
      <c r="B47" s="962"/>
      <c r="C47" s="962">
        <v>4</v>
      </c>
      <c r="D47" s="963">
        <v>3</v>
      </c>
      <c r="E47" s="963">
        <v>2</v>
      </c>
      <c r="F47" s="964">
        <v>0</v>
      </c>
    </row>
    <row r="48" spans="1:6" ht="15" customHeight="1">
      <c r="A48" s="961">
        <v>2028</v>
      </c>
      <c r="B48" s="962"/>
      <c r="C48" s="962">
        <v>6</v>
      </c>
      <c r="D48" s="963">
        <v>4</v>
      </c>
      <c r="E48" s="963">
        <v>4</v>
      </c>
      <c r="F48" s="964">
        <v>1</v>
      </c>
    </row>
    <row r="49" spans="1:6" ht="15" customHeight="1">
      <c r="A49" s="961">
        <v>2029</v>
      </c>
      <c r="B49" s="963"/>
      <c r="C49" s="962">
        <v>8</v>
      </c>
      <c r="D49" s="963">
        <v>9</v>
      </c>
      <c r="E49" s="963">
        <v>6</v>
      </c>
      <c r="F49" s="964">
        <v>2</v>
      </c>
    </row>
    <row r="50" spans="1:6" ht="15" customHeight="1" thickBot="1">
      <c r="A50" s="965">
        <v>2030</v>
      </c>
      <c r="B50" s="966"/>
      <c r="C50" s="967">
        <v>10</v>
      </c>
      <c r="D50" s="966">
        <v>15</v>
      </c>
      <c r="E50" s="966">
        <v>8</v>
      </c>
      <c r="F50" s="968">
        <v>3</v>
      </c>
    </row>
  </sheetData>
  <mergeCells count="5">
    <mergeCell ref="A37:D37"/>
    <mergeCell ref="A1:D1"/>
    <mergeCell ref="A2:D2"/>
    <mergeCell ref="A3:D3"/>
    <mergeCell ref="A24:D2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workbookViewId="0">
      <selection activeCell="G9" sqref="G9:G12"/>
    </sheetView>
  </sheetViews>
  <sheetFormatPr baseColWidth="10" defaultColWidth="12.5" defaultRowHeight="15" customHeight="1"/>
  <cols>
    <col min="1" max="1" width="38.6640625" bestFit="1" customWidth="1"/>
    <col min="2" max="2" width="0.5" customWidth="1"/>
    <col min="3" max="3" width="36.1640625" bestFit="1" customWidth="1"/>
    <col min="4" max="4" width="0.5" customWidth="1"/>
    <col min="5" max="5" width="45.83203125" bestFit="1" customWidth="1"/>
    <col min="6" max="6" width="0.5" customWidth="1"/>
    <col min="7" max="7" width="18.1640625" bestFit="1" customWidth="1"/>
    <col min="8" max="8" width="0.5" customWidth="1"/>
    <col min="9" max="9" width="24.1640625" bestFit="1" customWidth="1"/>
    <col min="10" max="10" width="0.5" customWidth="1"/>
    <col min="11" max="11" width="18.6640625" bestFit="1" customWidth="1"/>
    <col min="12" max="12" width="0.5" customWidth="1"/>
    <col min="13" max="13" width="18.33203125" bestFit="1" customWidth="1"/>
    <col min="14" max="14" width="8.33203125" bestFit="1" customWidth="1"/>
    <col min="15" max="15" width="11.33203125" bestFit="1" customWidth="1"/>
    <col min="16" max="16" width="16.1640625" customWidth="1"/>
    <col min="17" max="17" width="9.5" customWidth="1"/>
    <col min="18" max="28" width="8" customWidth="1"/>
  </cols>
  <sheetData>
    <row r="1" spans="1:13" ht="13.5" customHeight="1">
      <c r="A1" s="1125" t="s">
        <v>0</v>
      </c>
      <c r="B1" s="1121"/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M1" s="1121"/>
    </row>
    <row r="2" spans="1:13" ht="13.5" customHeight="1">
      <c r="A2" s="1125" t="s">
        <v>1</v>
      </c>
      <c r="B2" s="1121"/>
      <c r="C2" s="1121"/>
      <c r="D2" s="1121"/>
      <c r="E2" s="1121"/>
      <c r="F2" s="1121"/>
      <c r="G2" s="1121"/>
      <c r="H2" s="1121"/>
      <c r="I2" s="1121"/>
      <c r="J2" s="1121"/>
      <c r="K2" s="1121"/>
      <c r="L2" s="1121"/>
      <c r="M2" s="1121"/>
    </row>
    <row r="3" spans="1:13" ht="13.5" customHeight="1">
      <c r="A3" s="1125" t="s">
        <v>2</v>
      </c>
      <c r="B3" s="1121"/>
      <c r="C3" s="1121"/>
      <c r="D3" s="1121"/>
      <c r="E3" s="1121"/>
      <c r="F3" s="1121"/>
      <c r="G3" s="1121"/>
      <c r="H3" s="1121"/>
      <c r="I3" s="1121"/>
      <c r="J3" s="1121"/>
      <c r="K3" s="1121"/>
      <c r="L3" s="1121"/>
      <c r="M3" s="1121"/>
    </row>
    <row r="4" spans="1:13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3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3.5" customHeight="1">
      <c r="A6" s="1126" t="s">
        <v>3</v>
      </c>
      <c r="B6" s="1127"/>
      <c r="C6" s="1127"/>
      <c r="D6" s="1127"/>
      <c r="E6" s="1127"/>
      <c r="F6" s="1127"/>
      <c r="G6" s="1127"/>
      <c r="H6" s="1127"/>
      <c r="I6" s="1127"/>
      <c r="J6" s="1127"/>
      <c r="K6" s="1127"/>
      <c r="L6" s="1127"/>
      <c r="M6" s="1128"/>
    </row>
    <row r="7" spans="1:13" ht="13.5" customHeight="1">
      <c r="A7" s="3"/>
      <c r="B7" s="3"/>
      <c r="C7" s="3"/>
      <c r="D7" s="3"/>
      <c r="E7" s="3"/>
      <c r="F7" s="3"/>
      <c r="G7" s="3" t="s">
        <v>4</v>
      </c>
      <c r="H7" s="3"/>
      <c r="I7" s="3" t="s">
        <v>5</v>
      </c>
      <c r="J7" s="3"/>
      <c r="K7" s="3" t="s">
        <v>6</v>
      </c>
      <c r="L7" s="3"/>
      <c r="M7" s="3" t="s">
        <v>7</v>
      </c>
    </row>
    <row r="8" spans="1:13" ht="13.5" customHeight="1">
      <c r="A8" s="4" t="s">
        <v>8</v>
      </c>
      <c r="B8" s="5"/>
      <c r="C8" s="5">
        <v>3000000</v>
      </c>
      <c r="D8" s="4"/>
      <c r="E8" s="4">
        <v>5</v>
      </c>
      <c r="F8" s="4"/>
      <c r="G8" s="5">
        <f t="shared" ref="G8:G12" si="0">E8*C8</f>
        <v>15000000</v>
      </c>
      <c r="H8" s="4"/>
      <c r="I8" s="5">
        <f t="shared" ref="I8:I13" si="1">0.35*G8</f>
        <v>5250000</v>
      </c>
      <c r="J8" s="4"/>
      <c r="K8" s="5">
        <f t="shared" ref="K8:K13" si="2">0.25*I8</f>
        <v>1312500</v>
      </c>
      <c r="L8" s="4"/>
      <c r="M8" s="5">
        <f t="shared" ref="M8:M13" si="3">0.2*I8</f>
        <v>1050000</v>
      </c>
    </row>
    <row r="9" spans="1:13" ht="13.5" customHeight="1">
      <c r="A9" s="4" t="s">
        <v>9</v>
      </c>
      <c r="B9" s="5"/>
      <c r="C9" s="5">
        <v>3000000</v>
      </c>
      <c r="D9" s="4"/>
      <c r="E9" s="4">
        <v>7</v>
      </c>
      <c r="F9" s="4"/>
      <c r="G9" s="5">
        <f t="shared" si="0"/>
        <v>21000000</v>
      </c>
      <c r="H9" s="4"/>
      <c r="I9" s="5">
        <f t="shared" si="1"/>
        <v>7349999.9999999991</v>
      </c>
      <c r="J9" s="4"/>
      <c r="K9" s="5">
        <f t="shared" si="2"/>
        <v>1837499.9999999998</v>
      </c>
      <c r="L9" s="4"/>
      <c r="M9" s="5">
        <f t="shared" si="3"/>
        <v>1470000</v>
      </c>
    </row>
    <row r="10" spans="1:13" ht="13.5" customHeight="1">
      <c r="A10" s="4" t="s">
        <v>10</v>
      </c>
      <c r="B10" s="5"/>
      <c r="C10" s="5">
        <v>3000000</v>
      </c>
      <c r="D10" s="4"/>
      <c r="E10" s="4">
        <v>9</v>
      </c>
      <c r="F10" s="4"/>
      <c r="G10" s="5">
        <f t="shared" si="0"/>
        <v>27000000</v>
      </c>
      <c r="H10" s="4"/>
      <c r="I10" s="5">
        <f t="shared" si="1"/>
        <v>9450000</v>
      </c>
      <c r="J10" s="4"/>
      <c r="K10" s="5">
        <f t="shared" si="2"/>
        <v>2362500</v>
      </c>
      <c r="L10" s="4"/>
      <c r="M10" s="5">
        <f t="shared" si="3"/>
        <v>1890000</v>
      </c>
    </row>
    <row r="11" spans="1:13" ht="13.5" customHeight="1">
      <c r="A11" s="4" t="s">
        <v>11</v>
      </c>
      <c r="B11" s="5"/>
      <c r="C11" s="5">
        <v>3000000</v>
      </c>
      <c r="D11" s="4"/>
      <c r="E11" s="4">
        <v>12</v>
      </c>
      <c r="F11" s="4"/>
      <c r="G11" s="5">
        <f t="shared" si="0"/>
        <v>36000000</v>
      </c>
      <c r="H11" s="4"/>
      <c r="I11" s="5">
        <f t="shared" si="1"/>
        <v>12600000</v>
      </c>
      <c r="J11" s="4"/>
      <c r="K11" s="5">
        <f t="shared" si="2"/>
        <v>3150000</v>
      </c>
      <c r="L11" s="4"/>
      <c r="M11" s="5">
        <f t="shared" si="3"/>
        <v>2520000</v>
      </c>
    </row>
    <row r="12" spans="1:13" ht="13.5" customHeight="1">
      <c r="A12" s="4" t="s">
        <v>12</v>
      </c>
      <c r="B12" s="5"/>
      <c r="C12" s="5">
        <v>3000000</v>
      </c>
      <c r="D12" s="4"/>
      <c r="E12" s="4">
        <v>15</v>
      </c>
      <c r="F12" s="4"/>
      <c r="G12" s="5">
        <f t="shared" si="0"/>
        <v>45000000</v>
      </c>
      <c r="H12" s="4"/>
      <c r="I12" s="5">
        <f t="shared" si="1"/>
        <v>15749999.999999998</v>
      </c>
      <c r="J12" s="4"/>
      <c r="K12" s="5">
        <f t="shared" si="2"/>
        <v>3937499.9999999995</v>
      </c>
      <c r="L12" s="4"/>
      <c r="M12" s="5">
        <f t="shared" si="3"/>
        <v>3150000</v>
      </c>
    </row>
    <row r="13" spans="1:13" s="293" customFormat="1" ht="13.5" customHeight="1" thickBot="1">
      <c r="A13" s="476" t="s">
        <v>720</v>
      </c>
      <c r="B13" s="476"/>
      <c r="C13" s="476"/>
      <c r="D13" s="476"/>
      <c r="E13" s="476"/>
      <c r="F13" s="476"/>
      <c r="G13" s="477">
        <f>SUM(G8:G12)</f>
        <v>144000000</v>
      </c>
      <c r="H13" s="478"/>
      <c r="I13" s="477">
        <f t="shared" si="1"/>
        <v>50400000</v>
      </c>
      <c r="J13" s="478"/>
      <c r="K13" s="477">
        <f t="shared" si="2"/>
        <v>12600000</v>
      </c>
      <c r="L13" s="478"/>
      <c r="M13" s="477">
        <f t="shared" si="3"/>
        <v>10080000</v>
      </c>
    </row>
    <row r="14" spans="1:13" ht="13.5" customHeight="1" thickTop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3.5" customHeight="1">
      <c r="A15" s="4" t="s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20" spans="1:15" ht="13.5" customHeight="1">
      <c r="A20" s="4"/>
      <c r="B20" s="4"/>
      <c r="C20" s="4"/>
      <c r="D20" s="4"/>
      <c r="E20" s="4"/>
      <c r="F20" s="4"/>
      <c r="G20" s="4" t="s">
        <v>13</v>
      </c>
      <c r="H20" s="4"/>
      <c r="I20" s="4" t="s">
        <v>14</v>
      </c>
      <c r="J20" s="4"/>
      <c r="K20" s="4"/>
      <c r="L20" s="4"/>
      <c r="M20" s="4"/>
      <c r="N20" s="4"/>
      <c r="O20" s="4"/>
    </row>
    <row r="21" spans="1:15" ht="13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3.5" customHeight="1">
      <c r="A22" s="1126" t="s">
        <v>15</v>
      </c>
      <c r="B22" s="1127"/>
      <c r="C22" s="1127"/>
      <c r="D22" s="1127"/>
      <c r="E22" s="1127"/>
      <c r="F22" s="1127"/>
      <c r="G22" s="1127"/>
      <c r="H22" s="1127"/>
      <c r="I22" s="1127"/>
      <c r="J22" s="1127"/>
      <c r="K22" s="1127"/>
      <c r="L22" s="1127"/>
      <c r="M22" s="1128"/>
      <c r="N22" s="4"/>
      <c r="O22" s="4"/>
    </row>
    <row r="23" spans="1:15" ht="13.5" customHeight="1">
      <c r="A23" s="4"/>
      <c r="B23" s="4"/>
      <c r="C23" s="4"/>
      <c r="D23" s="4"/>
      <c r="E23" s="4" t="s">
        <v>16</v>
      </c>
      <c r="F23" s="4"/>
      <c r="G23" s="4"/>
      <c r="H23" s="4"/>
      <c r="I23" s="4"/>
      <c r="J23" s="4"/>
      <c r="K23" s="4"/>
      <c r="L23" s="4"/>
      <c r="M23" s="4"/>
      <c r="N23" s="4">
        <f>8000/20</f>
        <v>400</v>
      </c>
      <c r="O23" s="4"/>
    </row>
    <row r="24" spans="1:15" ht="13.5" customHeight="1">
      <c r="A24" s="4"/>
      <c r="B24" s="4"/>
      <c r="C24" s="4"/>
      <c r="D24" s="4"/>
      <c r="E24" s="4">
        <f>350000/20</f>
        <v>17500</v>
      </c>
      <c r="F24" s="4"/>
      <c r="G24" s="4" t="s">
        <v>17</v>
      </c>
      <c r="H24" s="4"/>
      <c r="I24" s="4"/>
      <c r="J24" s="4"/>
      <c r="K24" s="4"/>
      <c r="L24" s="4"/>
      <c r="M24" s="4"/>
      <c r="N24" s="4"/>
      <c r="O24" s="4"/>
    </row>
    <row r="25" spans="1:15" ht="13.5" customHeight="1">
      <c r="A25" s="4"/>
      <c r="B25" s="4"/>
      <c r="C25" s="4"/>
      <c r="D25" s="4"/>
      <c r="E25" s="4">
        <v>200</v>
      </c>
      <c r="F25" s="4"/>
      <c r="G25" s="4" t="s">
        <v>18</v>
      </c>
      <c r="H25" s="4"/>
      <c r="I25" s="4"/>
      <c r="J25" s="4"/>
      <c r="K25" s="4"/>
      <c r="L25" s="4"/>
      <c r="M25" s="4"/>
      <c r="N25" s="4"/>
      <c r="O25" s="4"/>
    </row>
    <row r="26" spans="1:15" ht="13.5" customHeight="1">
      <c r="E26" s="7">
        <f>0.65*E25</f>
        <v>130</v>
      </c>
      <c r="F26" s="8"/>
      <c r="G26" s="8" t="s">
        <v>19</v>
      </c>
    </row>
    <row r="27" spans="1:15" ht="13.5" customHeight="1">
      <c r="A27" s="6"/>
      <c r="B27" s="8"/>
      <c r="C27" s="8"/>
      <c r="D27" s="8"/>
      <c r="E27" s="8" t="s">
        <v>20</v>
      </c>
      <c r="F27" s="8"/>
      <c r="G27" s="8" t="s">
        <v>21</v>
      </c>
      <c r="H27" s="8"/>
      <c r="I27" s="8" t="s">
        <v>22</v>
      </c>
      <c r="N27" s="8" t="s">
        <v>23</v>
      </c>
      <c r="O27" s="8" t="s">
        <v>24</v>
      </c>
    </row>
    <row r="28" spans="1:15" ht="13.5" customHeight="1">
      <c r="A28" s="4" t="s">
        <v>25</v>
      </c>
      <c r="B28" s="9"/>
      <c r="C28" s="9">
        <v>350000</v>
      </c>
      <c r="D28" s="10"/>
      <c r="E28" s="10">
        <f t="shared" ref="E28:E31" si="4">C28*$E$26</f>
        <v>45500000</v>
      </c>
      <c r="F28" s="10"/>
      <c r="G28" s="10">
        <f t="shared" ref="G28:G31" si="5">E28*0.65</f>
        <v>29575000</v>
      </c>
      <c r="H28" s="10"/>
      <c r="I28" s="10">
        <f t="shared" ref="I28:I31" si="6">E28-G28</f>
        <v>15925000</v>
      </c>
      <c r="J28" s="4"/>
      <c r="K28" s="4"/>
      <c r="L28" s="4"/>
      <c r="M28" s="4"/>
      <c r="N28" s="11">
        <v>0.4</v>
      </c>
      <c r="O28" s="10">
        <f t="shared" ref="O28:O31" si="7">I28*(1-N28)</f>
        <v>9555000</v>
      </c>
    </row>
    <row r="29" spans="1:15" ht="13.5" customHeight="1">
      <c r="A29" s="4" t="s">
        <v>26</v>
      </c>
      <c r="B29" s="9"/>
      <c r="C29" s="9">
        <v>100000</v>
      </c>
      <c r="D29" s="10"/>
      <c r="E29" s="10">
        <f t="shared" si="4"/>
        <v>13000000</v>
      </c>
      <c r="F29" s="10"/>
      <c r="G29" s="10">
        <f t="shared" si="5"/>
        <v>8450000</v>
      </c>
      <c r="H29" s="10"/>
      <c r="I29" s="10">
        <f t="shared" si="6"/>
        <v>4550000</v>
      </c>
      <c r="J29" s="4"/>
      <c r="K29" s="4"/>
      <c r="L29" s="4"/>
      <c r="M29" s="4"/>
      <c r="N29" s="11">
        <v>0.3</v>
      </c>
      <c r="O29" s="10">
        <f t="shared" si="7"/>
        <v>3185000</v>
      </c>
    </row>
    <row r="30" spans="1:15" ht="13.5" customHeight="1">
      <c r="A30" s="4" t="s">
        <v>27</v>
      </c>
      <c r="B30" s="9"/>
      <c r="C30" s="9">
        <v>50000</v>
      </c>
      <c r="D30" s="10"/>
      <c r="E30" s="10">
        <f t="shared" si="4"/>
        <v>6500000</v>
      </c>
      <c r="F30" s="10"/>
      <c r="G30" s="10">
        <f t="shared" si="5"/>
        <v>4225000</v>
      </c>
      <c r="H30" s="10"/>
      <c r="I30" s="10">
        <f t="shared" si="6"/>
        <v>2275000</v>
      </c>
      <c r="J30" s="4"/>
      <c r="K30" s="4"/>
      <c r="L30" s="4"/>
      <c r="M30" s="4"/>
      <c r="N30" s="11">
        <v>0.25</v>
      </c>
      <c r="O30" s="10">
        <f t="shared" si="7"/>
        <v>1706250</v>
      </c>
    </row>
    <row r="31" spans="1:15" ht="13.5" customHeight="1">
      <c r="A31" s="4" t="s">
        <v>28</v>
      </c>
      <c r="B31" s="9"/>
      <c r="C31" s="9">
        <v>5000</v>
      </c>
      <c r="D31" s="10"/>
      <c r="E31" s="10">
        <f t="shared" si="4"/>
        <v>650000</v>
      </c>
      <c r="F31" s="10"/>
      <c r="G31" s="10">
        <f t="shared" si="5"/>
        <v>422500</v>
      </c>
      <c r="H31" s="10"/>
      <c r="I31" s="10">
        <f t="shared" si="6"/>
        <v>227500</v>
      </c>
      <c r="J31" s="4"/>
      <c r="K31" s="4"/>
      <c r="L31" s="4"/>
      <c r="M31" s="4"/>
      <c r="N31" s="11">
        <v>0.2</v>
      </c>
      <c r="O31" s="10">
        <f t="shared" si="7"/>
        <v>182000</v>
      </c>
    </row>
    <row r="33" spans="1:9" ht="13.5" customHeight="1">
      <c r="A33" s="4"/>
      <c r="B33" s="4"/>
      <c r="C33" s="4" t="s">
        <v>29</v>
      </c>
      <c r="D33" s="4"/>
      <c r="E33" s="4" t="s">
        <v>30</v>
      </c>
      <c r="F33" s="4"/>
      <c r="G33" s="4"/>
      <c r="H33" s="4"/>
      <c r="I33" s="4" t="s">
        <v>31</v>
      </c>
    </row>
    <row r="34" spans="1:9" ht="13.5" customHeight="1">
      <c r="A34" s="4"/>
      <c r="B34" s="4"/>
      <c r="C34" s="4" t="s">
        <v>32</v>
      </c>
      <c r="D34" s="4"/>
      <c r="E34" s="4" t="s">
        <v>33</v>
      </c>
      <c r="F34" s="4"/>
      <c r="G34" s="4"/>
      <c r="H34" s="4"/>
      <c r="I34" s="4" t="s">
        <v>31</v>
      </c>
    </row>
    <row r="35" spans="1:9" ht="13.5" customHeight="1">
      <c r="A35" s="4"/>
      <c r="B35" s="4"/>
      <c r="C35" s="4"/>
      <c r="D35" s="4"/>
      <c r="E35" s="4"/>
      <c r="F35" s="4"/>
      <c r="G35" s="4"/>
      <c r="H35" s="4"/>
      <c r="I35" s="4"/>
    </row>
    <row r="36" spans="1:9" ht="13.5" customHeight="1">
      <c r="A36" s="4"/>
      <c r="B36" s="4"/>
      <c r="C36" s="4"/>
      <c r="D36" s="4"/>
      <c r="E36" s="4"/>
      <c r="F36" s="4"/>
      <c r="G36" s="4"/>
      <c r="H36" s="4"/>
      <c r="I36" s="4"/>
    </row>
    <row r="37" spans="1:9" ht="13.5" customHeight="1">
      <c r="A37" s="4" t="s">
        <v>34</v>
      </c>
      <c r="B37" s="4"/>
      <c r="C37" s="4"/>
      <c r="D37" s="4"/>
      <c r="E37" s="4"/>
      <c r="F37" s="4"/>
      <c r="G37" s="4"/>
      <c r="H37" s="4"/>
      <c r="I37" s="4"/>
    </row>
    <row r="38" spans="1:9" ht="13.5" customHeight="1">
      <c r="A38" s="6">
        <v>2026</v>
      </c>
      <c r="B38" s="6"/>
      <c r="C38" s="6" t="s">
        <v>35</v>
      </c>
      <c r="D38" s="6"/>
      <c r="E38" s="6"/>
      <c r="F38" s="6"/>
      <c r="G38" s="6"/>
      <c r="H38" s="6"/>
      <c r="I38" s="6"/>
    </row>
    <row r="39" spans="1:9" ht="13.5" customHeight="1">
      <c r="A39" s="4">
        <v>2027</v>
      </c>
      <c r="B39" s="4"/>
      <c r="C39" s="4" t="s">
        <v>36</v>
      </c>
      <c r="D39" s="4"/>
      <c r="E39" s="4"/>
      <c r="F39" s="4"/>
      <c r="G39" s="4"/>
      <c r="H39" s="4"/>
      <c r="I39" s="4"/>
    </row>
    <row r="40" spans="1:9" ht="13.5" customHeight="1">
      <c r="A40" s="4">
        <v>2028</v>
      </c>
      <c r="B40" s="4"/>
      <c r="C40" s="4" t="s">
        <v>37</v>
      </c>
      <c r="D40" s="4"/>
      <c r="E40" s="4"/>
      <c r="F40" s="4"/>
      <c r="G40" s="4"/>
      <c r="H40" s="4"/>
      <c r="I40" s="4"/>
    </row>
    <row r="41" spans="1:9" ht="13.5" customHeight="1">
      <c r="A41" s="12"/>
      <c r="B41" s="12"/>
      <c r="C41" s="12"/>
      <c r="D41" s="12"/>
      <c r="E41" s="12"/>
      <c r="F41" s="12"/>
      <c r="G41" s="12"/>
      <c r="H41" s="12"/>
      <c r="I41" s="12"/>
    </row>
    <row r="42" spans="1:9" ht="13.5" customHeight="1">
      <c r="A42" s="12"/>
      <c r="B42" s="12"/>
      <c r="C42" s="12"/>
      <c r="D42" s="12"/>
      <c r="E42" s="12"/>
      <c r="F42" s="12"/>
      <c r="G42" s="12"/>
      <c r="H42" s="12"/>
      <c r="I42" s="12"/>
    </row>
    <row r="43" spans="1:9" ht="13.5" customHeight="1">
      <c r="A43" s="12" t="s">
        <v>38</v>
      </c>
      <c r="B43" s="12"/>
      <c r="C43" s="12"/>
      <c r="D43" s="12"/>
      <c r="E43" s="12"/>
      <c r="F43" s="12"/>
      <c r="G43" s="12"/>
      <c r="H43" s="12"/>
      <c r="I43" s="12"/>
    </row>
    <row r="44" spans="1:9" ht="13.5" customHeight="1">
      <c r="A44" s="12" t="s">
        <v>39</v>
      </c>
      <c r="B44" s="12"/>
      <c r="C44" s="12"/>
      <c r="D44" s="12"/>
      <c r="E44" s="12"/>
      <c r="F44" s="12"/>
      <c r="G44" s="12"/>
      <c r="H44" s="12"/>
      <c r="I44" s="12"/>
    </row>
  </sheetData>
  <mergeCells count="5">
    <mergeCell ref="A1:M1"/>
    <mergeCell ref="A2:M2"/>
    <mergeCell ref="A3:M3"/>
    <mergeCell ref="A6:M6"/>
    <mergeCell ref="A22:M22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4:J13"/>
  <sheetViews>
    <sheetView workbookViewId="0"/>
  </sheetViews>
  <sheetFormatPr baseColWidth="10" defaultColWidth="12.5" defaultRowHeight="15" customHeight="1"/>
  <cols>
    <col min="1" max="2" width="9.5" customWidth="1"/>
    <col min="3" max="4" width="8" customWidth="1"/>
    <col min="5" max="9" width="7.6640625" customWidth="1"/>
    <col min="10" max="10" width="8.5" customWidth="1"/>
    <col min="11" max="26" width="7.6640625" customWidth="1"/>
  </cols>
  <sheetData>
    <row r="4" spans="3:10">
      <c r="C4" s="1129" t="s">
        <v>40</v>
      </c>
      <c r="D4" s="1130"/>
      <c r="F4" s="14"/>
      <c r="I4" s="1129" t="s">
        <v>41</v>
      </c>
      <c r="J4" s="1130"/>
    </row>
    <row r="5" spans="3:10">
      <c r="C5" s="1131"/>
      <c r="D5" s="1132"/>
      <c r="I5" s="1131"/>
      <c r="J5" s="1132"/>
    </row>
    <row r="6" spans="3:10">
      <c r="D6" s="15"/>
      <c r="J6" s="15"/>
    </row>
    <row r="7" spans="3:10">
      <c r="C7" s="16"/>
      <c r="D7" s="17">
        <v>0.2</v>
      </c>
      <c r="I7" s="16"/>
      <c r="J7" s="17">
        <v>0.8</v>
      </c>
    </row>
    <row r="8" spans="3:10">
      <c r="C8" s="16"/>
      <c r="D8" s="18"/>
      <c r="I8" s="16"/>
      <c r="J8" s="18"/>
    </row>
    <row r="9" spans="3:10">
      <c r="D9" s="19"/>
      <c r="E9" s="20"/>
      <c r="F9" s="21"/>
      <c r="G9" s="20"/>
      <c r="H9" s="20"/>
      <c r="I9" s="20"/>
      <c r="J9" s="22"/>
    </row>
    <row r="10" spans="3:10">
      <c r="C10" s="16"/>
      <c r="D10" s="18"/>
      <c r="J10" s="23"/>
    </row>
    <row r="11" spans="3:10">
      <c r="C11" s="16"/>
      <c r="D11" s="24"/>
      <c r="J11" s="25"/>
    </row>
    <row r="12" spans="3:10">
      <c r="C12" s="1129" t="s">
        <v>42</v>
      </c>
      <c r="D12" s="1130"/>
      <c r="I12" s="1129" t="s">
        <v>43</v>
      </c>
      <c r="J12" s="1130"/>
    </row>
    <row r="13" spans="3:10">
      <c r="C13" s="1131"/>
      <c r="D13" s="1132"/>
      <c r="I13" s="1131"/>
      <c r="J13" s="1132"/>
    </row>
  </sheetData>
  <mergeCells count="4">
    <mergeCell ref="C4:D5"/>
    <mergeCell ref="I4:J5"/>
    <mergeCell ref="C12:D13"/>
    <mergeCell ref="I12:J13"/>
  </mergeCells>
  <printOptions horizontalCentered="1" verticalCentered="1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2.5" defaultRowHeight="15" customHeight="1"/>
  <cols>
    <col min="1" max="1" width="2.1640625" customWidth="1"/>
    <col min="2" max="2" width="33.5" customWidth="1"/>
    <col min="3" max="4" width="10.5" customWidth="1"/>
    <col min="5" max="6" width="12" customWidth="1"/>
    <col min="7" max="7" width="11.5" customWidth="1"/>
    <col min="8" max="9" width="12" customWidth="1"/>
    <col min="10" max="10" width="11.5" customWidth="1"/>
    <col min="11" max="11" width="12" customWidth="1"/>
    <col min="12" max="12" width="10.5" customWidth="1"/>
    <col min="13" max="14" width="9.83203125" customWidth="1"/>
    <col min="15" max="15" width="12" customWidth="1"/>
    <col min="16" max="18" width="11.5" customWidth="1"/>
    <col min="19" max="19" width="12.5" customWidth="1"/>
  </cols>
  <sheetData>
    <row r="1" spans="1:19" ht="13.5" customHeight="1">
      <c r="A1" s="1120" t="s">
        <v>44</v>
      </c>
      <c r="B1" s="112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3.5" customHeight="1">
      <c r="A2" s="26" t="s">
        <v>45</v>
      </c>
      <c r="B2" s="4"/>
      <c r="C2" s="4"/>
      <c r="D2" s="4"/>
      <c r="E2" s="4"/>
      <c r="F2" s="4"/>
      <c r="G2" s="26" t="s">
        <v>46</v>
      </c>
      <c r="H2" s="4"/>
      <c r="I2" s="4"/>
      <c r="J2" s="26" t="s">
        <v>47</v>
      </c>
      <c r="K2" s="4"/>
      <c r="L2" s="4"/>
      <c r="M2" s="26" t="s">
        <v>48</v>
      </c>
      <c r="N2" s="4"/>
      <c r="O2" s="4"/>
      <c r="P2" s="4"/>
      <c r="Q2" s="4"/>
      <c r="R2" s="4"/>
      <c r="S2" s="4"/>
    </row>
    <row r="3" spans="1:19" ht="13.5" customHeight="1">
      <c r="A3" s="4"/>
      <c r="B3" s="4"/>
      <c r="C3" s="27">
        <v>45823</v>
      </c>
      <c r="D3" s="27">
        <f t="shared" ref="D3:N3" si="0">C3+30</f>
        <v>45853</v>
      </c>
      <c r="E3" s="27">
        <f t="shared" si="0"/>
        <v>45883</v>
      </c>
      <c r="F3" s="27">
        <f t="shared" si="0"/>
        <v>45913</v>
      </c>
      <c r="G3" s="27">
        <f t="shared" si="0"/>
        <v>45943</v>
      </c>
      <c r="H3" s="27">
        <f t="shared" si="0"/>
        <v>45973</v>
      </c>
      <c r="I3" s="27">
        <f t="shared" si="0"/>
        <v>46003</v>
      </c>
      <c r="J3" s="27">
        <f t="shared" si="0"/>
        <v>46033</v>
      </c>
      <c r="K3" s="27">
        <f t="shared" si="0"/>
        <v>46063</v>
      </c>
      <c r="L3" s="27">
        <f t="shared" si="0"/>
        <v>46093</v>
      </c>
      <c r="M3" s="27">
        <f t="shared" si="0"/>
        <v>46123</v>
      </c>
      <c r="N3" s="27">
        <f t="shared" si="0"/>
        <v>46153</v>
      </c>
      <c r="O3" s="4"/>
      <c r="P3" s="4"/>
      <c r="Q3" s="4"/>
      <c r="R3" s="4"/>
      <c r="S3" s="4"/>
    </row>
    <row r="4" spans="1:19" ht="13.5" customHeight="1">
      <c r="A4" s="28"/>
      <c r="B4" s="28"/>
      <c r="C4" s="29" t="s">
        <v>49</v>
      </c>
      <c r="D4" s="29" t="s">
        <v>50</v>
      </c>
      <c r="E4" s="29" t="s">
        <v>51</v>
      </c>
      <c r="F4" s="29" t="s">
        <v>52</v>
      </c>
      <c r="G4" s="29" t="s">
        <v>53</v>
      </c>
      <c r="H4" s="29" t="s">
        <v>54</v>
      </c>
      <c r="I4" s="29" t="s">
        <v>55</v>
      </c>
      <c r="J4" s="29" t="s">
        <v>56</v>
      </c>
      <c r="K4" s="29" t="s">
        <v>57</v>
      </c>
      <c r="L4" s="29" t="s">
        <v>58</v>
      </c>
      <c r="M4" s="29" t="s">
        <v>59</v>
      </c>
      <c r="N4" s="29" t="s">
        <v>60</v>
      </c>
      <c r="O4" s="30" t="s">
        <v>61</v>
      </c>
      <c r="P4" s="30" t="s">
        <v>62</v>
      </c>
      <c r="Q4" s="30" t="s">
        <v>63</v>
      </c>
      <c r="R4" s="30" t="s">
        <v>64</v>
      </c>
      <c r="S4" s="31" t="s">
        <v>65</v>
      </c>
    </row>
    <row r="5" spans="1:19" ht="13.5" customHeight="1">
      <c r="A5" s="32"/>
      <c r="B5" s="32" t="s">
        <v>20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  <c r="P5" s="34"/>
      <c r="Q5" s="34"/>
      <c r="R5" s="34"/>
      <c r="S5" s="35"/>
    </row>
    <row r="6" spans="1:19" ht="13.5" customHeight="1">
      <c r="A6" s="4"/>
      <c r="B6" s="36" t="s">
        <v>66</v>
      </c>
      <c r="C6" s="37">
        <v>0</v>
      </c>
      <c r="D6" s="37">
        <v>0</v>
      </c>
      <c r="E6" s="37">
        <v>0</v>
      </c>
      <c r="F6" s="37">
        <v>0</v>
      </c>
      <c r="G6" s="37">
        <f>('Jeremy Model'!D23+'Jeremy Model'!D42)</f>
        <v>5460000</v>
      </c>
      <c r="H6" s="37">
        <v>0</v>
      </c>
      <c r="I6" s="37">
        <f>H6</f>
        <v>0</v>
      </c>
      <c r="J6" s="37">
        <f>('Jeremy Model'!I23+'Jeremy Model'!I42)</f>
        <v>8970000</v>
      </c>
      <c r="K6" s="37">
        <v>0</v>
      </c>
      <c r="L6" s="37">
        <v>0</v>
      </c>
      <c r="M6" s="37">
        <f>'Jeremy Model'!N23</f>
        <v>650000</v>
      </c>
      <c r="N6" s="37">
        <v>0</v>
      </c>
      <c r="O6" s="38">
        <f t="shared" ref="O6:O9" si="1">SUM(C6:E6)</f>
        <v>0</v>
      </c>
      <c r="P6" s="38">
        <f t="shared" ref="P6:P9" si="2">SUM(F6:H6)</f>
        <v>5460000</v>
      </c>
      <c r="Q6" s="38">
        <f t="shared" ref="Q6:Q9" si="3">SUM(I6:K6)</f>
        <v>8970000</v>
      </c>
      <c r="R6" s="38">
        <f t="shared" ref="R6:R9" si="4">SUM(L6:N6)</f>
        <v>650000</v>
      </c>
      <c r="S6" s="39">
        <f t="shared" ref="S6:S9" si="5">SUM(C6:N6)</f>
        <v>15080000</v>
      </c>
    </row>
    <row r="7" spans="1:19" ht="13.5" customHeight="1">
      <c r="A7" s="4"/>
      <c r="B7" s="36" t="s">
        <v>67</v>
      </c>
      <c r="C7" s="37">
        <v>0</v>
      </c>
      <c r="D7" s="37">
        <v>0</v>
      </c>
      <c r="E7" s="37">
        <v>0</v>
      </c>
      <c r="F7" s="37">
        <v>0</v>
      </c>
      <c r="G7" s="37">
        <f t="shared" ref="G7:N7" si="6">10000+F7</f>
        <v>10000</v>
      </c>
      <c r="H7" s="37">
        <f t="shared" si="6"/>
        <v>20000</v>
      </c>
      <c r="I7" s="37">
        <f t="shared" si="6"/>
        <v>30000</v>
      </c>
      <c r="J7" s="37">
        <f t="shared" si="6"/>
        <v>40000</v>
      </c>
      <c r="K7" s="37">
        <f t="shared" si="6"/>
        <v>50000</v>
      </c>
      <c r="L7" s="37">
        <f t="shared" si="6"/>
        <v>60000</v>
      </c>
      <c r="M7" s="37">
        <f t="shared" si="6"/>
        <v>70000</v>
      </c>
      <c r="N7" s="37">
        <f t="shared" si="6"/>
        <v>80000</v>
      </c>
      <c r="O7" s="38">
        <f t="shared" si="1"/>
        <v>0</v>
      </c>
      <c r="P7" s="38">
        <f t="shared" si="2"/>
        <v>30000</v>
      </c>
      <c r="Q7" s="38">
        <f t="shared" si="3"/>
        <v>120000</v>
      </c>
      <c r="R7" s="38">
        <f t="shared" si="4"/>
        <v>210000</v>
      </c>
      <c r="S7" s="39">
        <f t="shared" si="5"/>
        <v>360000</v>
      </c>
    </row>
    <row r="8" spans="1:19" ht="13.5" customHeight="1">
      <c r="A8" s="4"/>
      <c r="B8" s="36" t="s">
        <v>68</v>
      </c>
      <c r="C8" s="37">
        <v>0</v>
      </c>
      <c r="D8" s="37">
        <v>0</v>
      </c>
      <c r="E8" s="37">
        <v>0</v>
      </c>
      <c r="F8" s="37">
        <v>0</v>
      </c>
      <c r="G8" s="37">
        <v>25000</v>
      </c>
      <c r="H8" s="37">
        <f t="shared" ref="H8:N8" si="7">G8</f>
        <v>25000</v>
      </c>
      <c r="I8" s="37">
        <f t="shared" si="7"/>
        <v>25000</v>
      </c>
      <c r="J8" s="37">
        <f t="shared" si="7"/>
        <v>25000</v>
      </c>
      <c r="K8" s="37">
        <f t="shared" si="7"/>
        <v>25000</v>
      </c>
      <c r="L8" s="37">
        <f t="shared" si="7"/>
        <v>25000</v>
      </c>
      <c r="M8" s="37">
        <f t="shared" si="7"/>
        <v>25000</v>
      </c>
      <c r="N8" s="37">
        <f t="shared" si="7"/>
        <v>25000</v>
      </c>
      <c r="O8" s="38">
        <f t="shared" si="1"/>
        <v>0</v>
      </c>
      <c r="P8" s="38">
        <f t="shared" si="2"/>
        <v>50000</v>
      </c>
      <c r="Q8" s="38">
        <f t="shared" si="3"/>
        <v>75000</v>
      </c>
      <c r="R8" s="38">
        <f t="shared" si="4"/>
        <v>75000</v>
      </c>
      <c r="S8" s="39">
        <f t="shared" si="5"/>
        <v>200000</v>
      </c>
    </row>
    <row r="9" spans="1:19" ht="13.5" customHeight="1">
      <c r="A9" s="4"/>
      <c r="B9" s="36" t="s">
        <v>69</v>
      </c>
      <c r="C9" s="37">
        <v>0</v>
      </c>
      <c r="D9" s="37">
        <v>0</v>
      </c>
      <c r="E9" s="37">
        <v>0</v>
      </c>
      <c r="F9" s="37">
        <v>0</v>
      </c>
      <c r="G9" s="37">
        <f t="shared" ref="G9:N9" si="8">5000+F9</f>
        <v>5000</v>
      </c>
      <c r="H9" s="37">
        <f t="shared" si="8"/>
        <v>10000</v>
      </c>
      <c r="I9" s="37">
        <f t="shared" si="8"/>
        <v>15000</v>
      </c>
      <c r="J9" s="37">
        <f t="shared" si="8"/>
        <v>20000</v>
      </c>
      <c r="K9" s="37">
        <f t="shared" si="8"/>
        <v>25000</v>
      </c>
      <c r="L9" s="37">
        <f t="shared" si="8"/>
        <v>30000</v>
      </c>
      <c r="M9" s="37">
        <f t="shared" si="8"/>
        <v>35000</v>
      </c>
      <c r="N9" s="37">
        <f t="shared" si="8"/>
        <v>40000</v>
      </c>
      <c r="O9" s="38">
        <f t="shared" si="1"/>
        <v>0</v>
      </c>
      <c r="P9" s="38">
        <f t="shared" si="2"/>
        <v>15000</v>
      </c>
      <c r="Q9" s="38">
        <f t="shared" si="3"/>
        <v>60000</v>
      </c>
      <c r="R9" s="38">
        <f t="shared" si="4"/>
        <v>105000</v>
      </c>
      <c r="S9" s="39">
        <f t="shared" si="5"/>
        <v>180000</v>
      </c>
    </row>
    <row r="10" spans="1:19" ht="13.5" customHeight="1">
      <c r="A10" s="40"/>
      <c r="B10" s="41" t="s">
        <v>70</v>
      </c>
      <c r="C10" s="42">
        <f t="shared" ref="C10:S10" si="9">SUM(C6:C9)</f>
        <v>0</v>
      </c>
      <c r="D10" s="42">
        <f t="shared" si="9"/>
        <v>0</v>
      </c>
      <c r="E10" s="42">
        <f t="shared" si="9"/>
        <v>0</v>
      </c>
      <c r="F10" s="42">
        <f t="shared" si="9"/>
        <v>0</v>
      </c>
      <c r="G10" s="42">
        <f t="shared" si="9"/>
        <v>5500000</v>
      </c>
      <c r="H10" s="42">
        <f t="shared" si="9"/>
        <v>55000</v>
      </c>
      <c r="I10" s="42">
        <f t="shared" si="9"/>
        <v>70000</v>
      </c>
      <c r="J10" s="42">
        <f t="shared" si="9"/>
        <v>9055000</v>
      </c>
      <c r="K10" s="42">
        <f t="shared" si="9"/>
        <v>100000</v>
      </c>
      <c r="L10" s="42">
        <f t="shared" si="9"/>
        <v>115000</v>
      </c>
      <c r="M10" s="42">
        <f t="shared" si="9"/>
        <v>780000</v>
      </c>
      <c r="N10" s="42">
        <f t="shared" si="9"/>
        <v>145000</v>
      </c>
      <c r="O10" s="43">
        <f t="shared" si="9"/>
        <v>0</v>
      </c>
      <c r="P10" s="43">
        <f t="shared" si="9"/>
        <v>5555000</v>
      </c>
      <c r="Q10" s="43">
        <f t="shared" si="9"/>
        <v>9225000</v>
      </c>
      <c r="R10" s="43">
        <f t="shared" si="9"/>
        <v>1040000</v>
      </c>
      <c r="S10" s="44">
        <f t="shared" si="9"/>
        <v>15820000</v>
      </c>
    </row>
    <row r="11" spans="1:19" ht="13.5" customHeight="1">
      <c r="A11" s="4"/>
      <c r="B11" s="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6"/>
      <c r="Q11" s="46"/>
      <c r="R11" s="46"/>
      <c r="S11" s="47"/>
    </row>
    <row r="12" spans="1:19" ht="13.5" customHeight="1">
      <c r="A12" s="32"/>
      <c r="B12" s="48" t="s">
        <v>71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</row>
    <row r="13" spans="1:19" ht="13.5" customHeight="1">
      <c r="A13" s="50" t="s">
        <v>71</v>
      </c>
      <c r="B13" s="50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52"/>
      <c r="Q13" s="52"/>
      <c r="R13" s="52"/>
      <c r="S13" s="53"/>
    </row>
    <row r="14" spans="1:19" ht="13.5" customHeight="1">
      <c r="A14" s="4"/>
      <c r="B14" s="36" t="s">
        <v>72</v>
      </c>
      <c r="C14" s="54"/>
      <c r="D14" s="54"/>
      <c r="E14" s="54">
        <f>('Jeremy Model'!C23+'Jeremy Model'!C42)/2</f>
        <v>1774500</v>
      </c>
      <c r="F14" s="54">
        <f>E14</f>
        <v>1774500</v>
      </c>
      <c r="G14" s="54"/>
      <c r="H14" s="54">
        <f>('Jeremy Model'!H23+'Jeremy Model'!H42)/2</f>
        <v>2915250</v>
      </c>
      <c r="I14" s="54">
        <f>H14</f>
        <v>2915250</v>
      </c>
      <c r="J14" s="54">
        <v>0</v>
      </c>
      <c r="K14" s="54">
        <f>'Jeremy Model'!M23/2</f>
        <v>211250</v>
      </c>
      <c r="L14" s="54">
        <f>K14</f>
        <v>211250</v>
      </c>
      <c r="M14" s="54">
        <v>0</v>
      </c>
      <c r="N14" s="54">
        <f>M14</f>
        <v>0</v>
      </c>
      <c r="O14" s="38">
        <f t="shared" ref="O14:O15" si="10">SUM(C14:E14)</f>
        <v>1774500</v>
      </c>
      <c r="P14" s="38">
        <f t="shared" ref="P14:P15" si="11">SUM(F14:H14)</f>
        <v>4689750</v>
      </c>
      <c r="Q14" s="38">
        <f t="shared" ref="Q14:Q15" si="12">SUM(I14:K14)</f>
        <v>3126500</v>
      </c>
      <c r="R14" s="38">
        <f t="shared" ref="R14:R15" si="13">SUM(L14:N14)</f>
        <v>211250</v>
      </c>
      <c r="S14" s="39">
        <f t="shared" ref="S14:S15" si="14">SUM(C14:N14)</f>
        <v>9802000</v>
      </c>
    </row>
    <row r="15" spans="1:19" ht="13.5" customHeight="1">
      <c r="A15" s="55"/>
      <c r="B15" s="56" t="s">
        <v>73</v>
      </c>
      <c r="C15" s="54">
        <v>0</v>
      </c>
      <c r="D15" s="54">
        <f t="shared" ref="D15:E15" si="15">C15</f>
        <v>0</v>
      </c>
      <c r="E15" s="54">
        <f t="shared" si="15"/>
        <v>0</v>
      </c>
      <c r="F15" s="54">
        <f>SUM('Jeremy Model'!E51:E52)</f>
        <v>54000</v>
      </c>
      <c r="G15" s="54">
        <v>0</v>
      </c>
      <c r="H15" s="54">
        <f>G15</f>
        <v>0</v>
      </c>
      <c r="I15" s="54">
        <f>SUM('Jeremy Model'!J51:J52)</f>
        <v>45000</v>
      </c>
      <c r="J15" s="54">
        <v>0</v>
      </c>
      <c r="K15" s="54">
        <f>J15</f>
        <v>0</v>
      </c>
      <c r="L15" s="54">
        <f>'Jeremy Model'!O51</f>
        <v>4500</v>
      </c>
      <c r="M15" s="54">
        <f t="shared" ref="M15:N15" si="16">L15</f>
        <v>4500</v>
      </c>
      <c r="N15" s="54">
        <f t="shared" si="16"/>
        <v>4500</v>
      </c>
      <c r="O15" s="38">
        <f t="shared" si="10"/>
        <v>0</v>
      </c>
      <c r="P15" s="38">
        <f t="shared" si="11"/>
        <v>54000</v>
      </c>
      <c r="Q15" s="38">
        <f t="shared" si="12"/>
        <v>45000</v>
      </c>
      <c r="R15" s="38">
        <f t="shared" si="13"/>
        <v>13500</v>
      </c>
      <c r="S15" s="39">
        <f t="shared" si="14"/>
        <v>112500</v>
      </c>
    </row>
    <row r="16" spans="1:19" ht="13.5" customHeight="1">
      <c r="A16" s="57"/>
      <c r="B16" s="58" t="s">
        <v>74</v>
      </c>
      <c r="C16" s="59">
        <f t="shared" ref="C16:S16" si="17">SUM(C14:C15)</f>
        <v>0</v>
      </c>
      <c r="D16" s="59">
        <f t="shared" si="17"/>
        <v>0</v>
      </c>
      <c r="E16" s="59">
        <f t="shared" si="17"/>
        <v>1774500</v>
      </c>
      <c r="F16" s="59">
        <f t="shared" si="17"/>
        <v>1828500</v>
      </c>
      <c r="G16" s="59">
        <f t="shared" si="17"/>
        <v>0</v>
      </c>
      <c r="H16" s="59">
        <f t="shared" si="17"/>
        <v>2915250</v>
      </c>
      <c r="I16" s="59">
        <f t="shared" si="17"/>
        <v>2960250</v>
      </c>
      <c r="J16" s="59">
        <f t="shared" si="17"/>
        <v>0</v>
      </c>
      <c r="K16" s="59">
        <f t="shared" si="17"/>
        <v>211250</v>
      </c>
      <c r="L16" s="59">
        <f t="shared" si="17"/>
        <v>215750</v>
      </c>
      <c r="M16" s="59">
        <f t="shared" si="17"/>
        <v>4500</v>
      </c>
      <c r="N16" s="59">
        <f t="shared" si="17"/>
        <v>4500</v>
      </c>
      <c r="O16" s="60">
        <f t="shared" si="17"/>
        <v>1774500</v>
      </c>
      <c r="P16" s="60">
        <f t="shared" si="17"/>
        <v>4743750</v>
      </c>
      <c r="Q16" s="60">
        <f t="shared" si="17"/>
        <v>3171500</v>
      </c>
      <c r="R16" s="60">
        <f t="shared" si="17"/>
        <v>224750</v>
      </c>
      <c r="S16" s="61">
        <f t="shared" si="17"/>
        <v>9914500</v>
      </c>
    </row>
    <row r="17" spans="1:19" ht="13.5" customHeight="1">
      <c r="A17" s="62" t="s">
        <v>75</v>
      </c>
      <c r="B17" s="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6"/>
      <c r="P17" s="46"/>
      <c r="Q17" s="46"/>
      <c r="R17" s="46"/>
      <c r="S17" s="63"/>
    </row>
    <row r="18" spans="1:19" ht="13.5" hidden="1" customHeight="1">
      <c r="A18" s="32"/>
      <c r="B18" s="48" t="s">
        <v>76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</row>
    <row r="19" spans="1:19" ht="13.5" hidden="1" customHeight="1">
      <c r="A19" s="50" t="s">
        <v>77</v>
      </c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/>
      <c r="P19" s="52"/>
      <c r="Q19" s="52"/>
      <c r="R19" s="52"/>
      <c r="S19" s="53"/>
    </row>
    <row r="20" spans="1:19" ht="13.5" hidden="1" customHeight="1">
      <c r="A20" s="4"/>
      <c r="B20" s="36" t="s">
        <v>78</v>
      </c>
      <c r="C20" s="37">
        <f>(C6-C16)*'Jeremy Model'!$V$15</f>
        <v>0</v>
      </c>
      <c r="D20" s="37">
        <f>(D6-D16)*'Jeremy Model'!$V$15</f>
        <v>0</v>
      </c>
      <c r="E20" s="37">
        <f>(E6-E16)*'Jeremy Model'!$V$15</f>
        <v>-798525</v>
      </c>
      <c r="F20" s="37">
        <f>(F6-F16)*'Jeremy Model'!$V$15</f>
        <v>-822825</v>
      </c>
      <c r="G20" s="37">
        <f>(G6-G16)*'Jeremy Model'!$V$15</f>
        <v>2457000</v>
      </c>
      <c r="H20" s="37">
        <f>(H6-H16)*'Jeremy Model'!$V$15</f>
        <v>-1311862.5</v>
      </c>
      <c r="I20" s="37">
        <f>(I6-I16)*'Jeremy Model'!$V$15</f>
        <v>-1332112.5</v>
      </c>
      <c r="J20" s="37">
        <f>(J6-J16)*'Jeremy Model'!$V$15</f>
        <v>4036500</v>
      </c>
      <c r="K20" s="37">
        <f>(K6-K16)*'Jeremy Model'!$V$15</f>
        <v>-95062.5</v>
      </c>
      <c r="L20" s="37">
        <f>(L6-L16)*'Jeremy Model'!$V$15</f>
        <v>-97087.5</v>
      </c>
      <c r="M20" s="37">
        <f>(M6-M16)*'Jeremy Model'!$V$15</f>
        <v>290475</v>
      </c>
      <c r="N20" s="37">
        <f>(N6-N16)*'Jeremy Model'!$V$15</f>
        <v>-2025</v>
      </c>
      <c r="O20" s="38"/>
      <c r="P20" s="38"/>
      <c r="Q20" s="38"/>
      <c r="R20" s="38"/>
      <c r="S20" s="39">
        <f>SUM(C20:N20)</f>
        <v>2324475</v>
      </c>
    </row>
    <row r="21" spans="1:19" ht="13.5" hidden="1" customHeight="1">
      <c r="A21" s="4"/>
      <c r="B21" s="36" t="s">
        <v>79</v>
      </c>
      <c r="C21" s="37">
        <f>C7*'Jeremy Model'!$V$16</f>
        <v>0</v>
      </c>
      <c r="D21" s="37">
        <f>D7*'Jeremy Model'!$V$16</f>
        <v>0</v>
      </c>
      <c r="E21" s="37">
        <f>E7*'Jeremy Model'!$V$16</f>
        <v>0</v>
      </c>
      <c r="F21" s="37">
        <f>F7*'Jeremy Model'!$V$16</f>
        <v>0</v>
      </c>
      <c r="G21" s="37">
        <f>G7*'Jeremy Model'!$V$16</f>
        <v>4500</v>
      </c>
      <c r="H21" s="37">
        <f>H7*'Jeremy Model'!$V$16</f>
        <v>9000</v>
      </c>
      <c r="I21" s="37">
        <f>I7*'Jeremy Model'!$V$16</f>
        <v>13500</v>
      </c>
      <c r="J21" s="37">
        <f>J7*'Jeremy Model'!$V$16</f>
        <v>18000</v>
      </c>
      <c r="K21" s="37">
        <f>K7*'Jeremy Model'!$V$16</f>
        <v>22500</v>
      </c>
      <c r="L21" s="37">
        <f>L7*'Jeremy Model'!$V$16</f>
        <v>27000</v>
      </c>
      <c r="M21" s="37">
        <f>M7*'Jeremy Model'!$V$16</f>
        <v>31500</v>
      </c>
      <c r="N21" s="37">
        <f>N7*'Jeremy Model'!$V$16</f>
        <v>36000</v>
      </c>
      <c r="O21" s="38"/>
      <c r="P21" s="38"/>
      <c r="Q21" s="38"/>
      <c r="R21" s="38"/>
      <c r="S21" s="39">
        <f t="shared" ref="S21:S22" si="18">SUM(G21:N21)</f>
        <v>162000</v>
      </c>
    </row>
    <row r="22" spans="1:19" ht="13.5" hidden="1" customHeight="1">
      <c r="A22" s="4"/>
      <c r="B22" s="36" t="s">
        <v>80</v>
      </c>
      <c r="C22" s="37">
        <f>C8*'Jeremy Model'!$V$17</f>
        <v>0</v>
      </c>
      <c r="D22" s="37">
        <f>D8*'Jeremy Model'!$V$17</f>
        <v>0</v>
      </c>
      <c r="E22" s="37">
        <f>E8*'Jeremy Model'!$V$17</f>
        <v>0</v>
      </c>
      <c r="F22" s="37">
        <f>F8*'Jeremy Model'!$V$17</f>
        <v>0</v>
      </c>
      <c r="G22" s="37">
        <f>G8*'Jeremy Model'!$V$17</f>
        <v>11250</v>
      </c>
      <c r="H22" s="37">
        <f>H8*'Jeremy Model'!$V$17</f>
        <v>11250</v>
      </c>
      <c r="I22" s="37">
        <f>I8*'Jeremy Model'!$V$17</f>
        <v>11250</v>
      </c>
      <c r="J22" s="37">
        <f>J8*'Jeremy Model'!$V$17</f>
        <v>11250</v>
      </c>
      <c r="K22" s="37">
        <f>K8*'Jeremy Model'!$V$17</f>
        <v>11250</v>
      </c>
      <c r="L22" s="37">
        <f>L8*'Jeremy Model'!$V$17</f>
        <v>11250</v>
      </c>
      <c r="M22" s="37">
        <f>M8*'Jeremy Model'!$V$17</f>
        <v>11250</v>
      </c>
      <c r="N22" s="37">
        <f>N8*'Jeremy Model'!$V$17</f>
        <v>11250</v>
      </c>
      <c r="O22" s="38"/>
      <c r="P22" s="38"/>
      <c r="Q22" s="38"/>
      <c r="R22" s="38"/>
      <c r="S22" s="39">
        <f t="shared" si="18"/>
        <v>90000</v>
      </c>
    </row>
    <row r="23" spans="1:19" ht="13.5" hidden="1" customHeight="1">
      <c r="A23" s="55"/>
      <c r="B23" s="56" t="s">
        <v>81</v>
      </c>
      <c r="C23" s="37">
        <f>C9*'Jeremy Model'!$V$18</f>
        <v>0</v>
      </c>
      <c r="D23" s="37">
        <f>D9*'Jeremy Model'!$V$18</f>
        <v>0</v>
      </c>
      <c r="E23" s="37">
        <f>E9*'Jeremy Model'!$V$18</f>
        <v>0</v>
      </c>
      <c r="F23" s="37">
        <f>F9*'Jeremy Model'!$V$18</f>
        <v>0</v>
      </c>
      <c r="G23" s="37">
        <f>G9*'Jeremy Model'!$V$18</f>
        <v>3000</v>
      </c>
      <c r="H23" s="37">
        <f>H9*'Jeremy Model'!$V$18</f>
        <v>6000</v>
      </c>
      <c r="I23" s="37">
        <f>I9*'Jeremy Model'!$V$18</f>
        <v>9000</v>
      </c>
      <c r="J23" s="37">
        <f>J9*'Jeremy Model'!$V$18</f>
        <v>12000</v>
      </c>
      <c r="K23" s="37">
        <f>K9*'Jeremy Model'!$V$18</f>
        <v>15000</v>
      </c>
      <c r="L23" s="37">
        <f>L9*'Jeremy Model'!$V$18</f>
        <v>18000</v>
      </c>
      <c r="M23" s="37">
        <f>M9*'Jeremy Model'!$V$18</f>
        <v>21000</v>
      </c>
      <c r="N23" s="37">
        <f>N9*'Jeremy Model'!$V$18</f>
        <v>24000</v>
      </c>
      <c r="O23" s="38"/>
      <c r="P23" s="38"/>
      <c r="Q23" s="38"/>
      <c r="R23" s="38"/>
      <c r="S23" s="39">
        <f>SUM(C23:N23)</f>
        <v>108000</v>
      </c>
    </row>
    <row r="24" spans="1:19" ht="13.5" hidden="1" customHeight="1">
      <c r="A24" s="57"/>
      <c r="B24" s="58" t="s">
        <v>76</v>
      </c>
      <c r="C24" s="59">
        <f t="shared" ref="C24:N24" si="19">SUM(C20:C23)</f>
        <v>0</v>
      </c>
      <c r="D24" s="59">
        <f t="shared" si="19"/>
        <v>0</v>
      </c>
      <c r="E24" s="59">
        <f t="shared" si="19"/>
        <v>-798525</v>
      </c>
      <c r="F24" s="59">
        <f t="shared" si="19"/>
        <v>-822825</v>
      </c>
      <c r="G24" s="59">
        <f t="shared" si="19"/>
        <v>2475750</v>
      </c>
      <c r="H24" s="59">
        <f t="shared" si="19"/>
        <v>-1285612.5</v>
      </c>
      <c r="I24" s="59">
        <f t="shared" si="19"/>
        <v>-1298362.5</v>
      </c>
      <c r="J24" s="59">
        <f t="shared" si="19"/>
        <v>4077750</v>
      </c>
      <c r="K24" s="59">
        <f t="shared" si="19"/>
        <v>-46312.5</v>
      </c>
      <c r="L24" s="59">
        <f t="shared" si="19"/>
        <v>-40837.5</v>
      </c>
      <c r="M24" s="59">
        <f t="shared" si="19"/>
        <v>354225</v>
      </c>
      <c r="N24" s="59">
        <f t="shared" si="19"/>
        <v>69225</v>
      </c>
      <c r="O24" s="60"/>
      <c r="P24" s="60"/>
      <c r="Q24" s="60"/>
      <c r="R24" s="60"/>
      <c r="S24" s="61">
        <f>SUM(S20:S23)</f>
        <v>2684475</v>
      </c>
    </row>
    <row r="25" spans="1:19" ht="13.5" hidden="1" customHeight="1">
      <c r="A25" s="4"/>
      <c r="B25" s="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  <c r="P25" s="46"/>
      <c r="Q25" s="46"/>
      <c r="R25" s="46"/>
      <c r="S25" s="63"/>
    </row>
    <row r="26" spans="1:19" ht="13.5" customHeight="1">
      <c r="A26" s="32"/>
      <c r="B26" s="48" t="s">
        <v>76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</row>
    <row r="27" spans="1:19" ht="13.5" customHeight="1">
      <c r="A27" s="50" t="s">
        <v>77</v>
      </c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2"/>
      <c r="P27" s="52"/>
      <c r="Q27" s="52"/>
      <c r="R27" s="52"/>
      <c r="S27" s="53"/>
    </row>
    <row r="28" spans="1:19" ht="13.5" customHeight="1">
      <c r="A28" s="37"/>
      <c r="B28" s="36" t="s">
        <v>82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f>SUM(C20:G20)</f>
        <v>835650</v>
      </c>
      <c r="I28" s="37">
        <v>0</v>
      </c>
      <c r="J28" s="37">
        <v>0</v>
      </c>
      <c r="K28" s="37">
        <f>SUM(H20:J20)</f>
        <v>1392525</v>
      </c>
      <c r="L28" s="37">
        <v>0</v>
      </c>
      <c r="M28" s="37">
        <v>0</v>
      </c>
      <c r="N28" s="37">
        <f>SUM(K20:M20)</f>
        <v>98325</v>
      </c>
      <c r="O28" s="38">
        <f t="shared" ref="O28:O31" si="20">SUM(C28:E28)</f>
        <v>0</v>
      </c>
      <c r="P28" s="38">
        <f t="shared" ref="P28:P31" si="21">SUM(F28:H28)</f>
        <v>835650</v>
      </c>
      <c r="Q28" s="38">
        <f t="shared" ref="Q28:Q31" si="22">SUM(I28:K28)</f>
        <v>1392525</v>
      </c>
      <c r="R28" s="38">
        <f t="shared" ref="R28:R31" si="23">SUM(L28:N28)</f>
        <v>98325</v>
      </c>
      <c r="S28" s="39">
        <f>SUM(A28:N28)</f>
        <v>2326500</v>
      </c>
    </row>
    <row r="29" spans="1:19" ht="13.5" customHeight="1">
      <c r="A29" s="4"/>
      <c r="B29" s="36" t="s">
        <v>79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f t="shared" ref="H29:N29" si="24">G21</f>
        <v>4500</v>
      </c>
      <c r="I29" s="37">
        <f t="shared" si="24"/>
        <v>9000</v>
      </c>
      <c r="J29" s="37">
        <f t="shared" si="24"/>
        <v>13500</v>
      </c>
      <c r="K29" s="37">
        <f t="shared" si="24"/>
        <v>18000</v>
      </c>
      <c r="L29" s="37">
        <f t="shared" si="24"/>
        <v>22500</v>
      </c>
      <c r="M29" s="37">
        <f t="shared" si="24"/>
        <v>27000</v>
      </c>
      <c r="N29" s="37">
        <f t="shared" si="24"/>
        <v>31500</v>
      </c>
      <c r="O29" s="38">
        <f t="shared" si="20"/>
        <v>0</v>
      </c>
      <c r="P29" s="38">
        <f t="shared" si="21"/>
        <v>4500</v>
      </c>
      <c r="Q29" s="38">
        <f t="shared" si="22"/>
        <v>40500</v>
      </c>
      <c r="R29" s="38">
        <f t="shared" si="23"/>
        <v>81000</v>
      </c>
      <c r="S29" s="39">
        <f t="shared" ref="S29:S30" si="25">SUM(G29:N29)</f>
        <v>126000</v>
      </c>
    </row>
    <row r="30" spans="1:19" ht="13.5" customHeight="1">
      <c r="A30" s="4"/>
      <c r="B30" s="36" t="s">
        <v>80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f t="shared" ref="H30:N30" si="26">G22</f>
        <v>11250</v>
      </c>
      <c r="I30" s="37">
        <f t="shared" si="26"/>
        <v>11250</v>
      </c>
      <c r="J30" s="37">
        <f t="shared" si="26"/>
        <v>11250</v>
      </c>
      <c r="K30" s="37">
        <f t="shared" si="26"/>
        <v>11250</v>
      </c>
      <c r="L30" s="37">
        <f t="shared" si="26"/>
        <v>11250</v>
      </c>
      <c r="M30" s="37">
        <f t="shared" si="26"/>
        <v>11250</v>
      </c>
      <c r="N30" s="37">
        <f t="shared" si="26"/>
        <v>11250</v>
      </c>
      <c r="O30" s="38">
        <f t="shared" si="20"/>
        <v>0</v>
      </c>
      <c r="P30" s="38">
        <f t="shared" si="21"/>
        <v>11250</v>
      </c>
      <c r="Q30" s="38">
        <f t="shared" si="22"/>
        <v>33750</v>
      </c>
      <c r="R30" s="38">
        <f t="shared" si="23"/>
        <v>33750</v>
      </c>
      <c r="S30" s="39">
        <f t="shared" si="25"/>
        <v>78750</v>
      </c>
    </row>
    <row r="31" spans="1:19" ht="13.5" customHeight="1">
      <c r="A31" s="55"/>
      <c r="B31" s="56" t="s">
        <v>81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f t="shared" ref="H31:N31" si="27">G23</f>
        <v>3000</v>
      </c>
      <c r="I31" s="37">
        <f t="shared" si="27"/>
        <v>6000</v>
      </c>
      <c r="J31" s="37">
        <f t="shared" si="27"/>
        <v>9000</v>
      </c>
      <c r="K31" s="37">
        <f t="shared" si="27"/>
        <v>12000</v>
      </c>
      <c r="L31" s="37">
        <f t="shared" si="27"/>
        <v>15000</v>
      </c>
      <c r="M31" s="37">
        <f t="shared" si="27"/>
        <v>18000</v>
      </c>
      <c r="N31" s="37">
        <f t="shared" si="27"/>
        <v>21000</v>
      </c>
      <c r="O31" s="38">
        <f t="shared" si="20"/>
        <v>0</v>
      </c>
      <c r="P31" s="38">
        <f t="shared" si="21"/>
        <v>3000</v>
      </c>
      <c r="Q31" s="38">
        <f t="shared" si="22"/>
        <v>27000</v>
      </c>
      <c r="R31" s="38">
        <f t="shared" si="23"/>
        <v>54000</v>
      </c>
      <c r="S31" s="39">
        <f>SUM(C31:N31)</f>
        <v>84000</v>
      </c>
    </row>
    <row r="32" spans="1:19" ht="13.5" customHeight="1">
      <c r="A32" s="57"/>
      <c r="B32" s="58" t="s">
        <v>76</v>
      </c>
      <c r="C32" s="59">
        <f t="shared" ref="C32:S32" si="28">SUM(C28:C31)</f>
        <v>0</v>
      </c>
      <c r="D32" s="59">
        <f t="shared" si="28"/>
        <v>0</v>
      </c>
      <c r="E32" s="59">
        <f t="shared" si="28"/>
        <v>0</v>
      </c>
      <c r="F32" s="59">
        <f t="shared" si="28"/>
        <v>0</v>
      </c>
      <c r="G32" s="59">
        <f t="shared" si="28"/>
        <v>0</v>
      </c>
      <c r="H32" s="59">
        <f t="shared" si="28"/>
        <v>854400</v>
      </c>
      <c r="I32" s="59">
        <f t="shared" si="28"/>
        <v>26250</v>
      </c>
      <c r="J32" s="59">
        <f t="shared" si="28"/>
        <v>33750</v>
      </c>
      <c r="K32" s="59">
        <f t="shared" si="28"/>
        <v>1433775</v>
      </c>
      <c r="L32" s="59">
        <f t="shared" si="28"/>
        <v>48750</v>
      </c>
      <c r="M32" s="59">
        <f t="shared" si="28"/>
        <v>56250</v>
      </c>
      <c r="N32" s="59">
        <f t="shared" si="28"/>
        <v>162075</v>
      </c>
      <c r="O32" s="60">
        <f t="shared" si="28"/>
        <v>0</v>
      </c>
      <c r="P32" s="60">
        <f t="shared" si="28"/>
        <v>854400</v>
      </c>
      <c r="Q32" s="60">
        <f t="shared" si="28"/>
        <v>1493775</v>
      </c>
      <c r="R32" s="60">
        <f t="shared" si="28"/>
        <v>267075</v>
      </c>
      <c r="S32" s="61">
        <f t="shared" si="28"/>
        <v>2615250</v>
      </c>
    </row>
    <row r="33" spans="1:19" ht="13.5" customHeight="1">
      <c r="A33" s="62" t="s">
        <v>83</v>
      </c>
      <c r="B33" s="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6"/>
      <c r="P33" s="46"/>
      <c r="Q33" s="46"/>
      <c r="R33" s="46"/>
      <c r="S33" s="63"/>
    </row>
    <row r="34" spans="1:19" ht="13.5" customHeight="1">
      <c r="A34" s="64"/>
      <c r="B34" s="65" t="s">
        <v>84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</row>
    <row r="35" spans="1:19" ht="13.5" customHeight="1">
      <c r="A35" s="55"/>
      <c r="B35" s="56" t="s">
        <v>84</v>
      </c>
      <c r="C35" s="54">
        <f t="shared" ref="C35:N35" si="29">C10-C16-C32</f>
        <v>0</v>
      </c>
      <c r="D35" s="54">
        <f t="shared" si="29"/>
        <v>0</v>
      </c>
      <c r="E35" s="54">
        <f t="shared" si="29"/>
        <v>-1774500</v>
      </c>
      <c r="F35" s="54">
        <f t="shared" si="29"/>
        <v>-1828500</v>
      </c>
      <c r="G35" s="54">
        <f t="shared" si="29"/>
        <v>5500000</v>
      </c>
      <c r="H35" s="54">
        <f t="shared" si="29"/>
        <v>-3714650</v>
      </c>
      <c r="I35" s="54">
        <f t="shared" si="29"/>
        <v>-2916500</v>
      </c>
      <c r="J35" s="54">
        <f t="shared" si="29"/>
        <v>9021250</v>
      </c>
      <c r="K35" s="54">
        <f t="shared" si="29"/>
        <v>-1545025</v>
      </c>
      <c r="L35" s="54">
        <f t="shared" si="29"/>
        <v>-149500</v>
      </c>
      <c r="M35" s="54">
        <f t="shared" si="29"/>
        <v>719250</v>
      </c>
      <c r="N35" s="54">
        <f t="shared" si="29"/>
        <v>-21575</v>
      </c>
      <c r="O35" s="38">
        <f>SUM(C35:E35)</f>
        <v>-1774500</v>
      </c>
      <c r="P35" s="38">
        <f>SUM(F35:H35)</f>
        <v>-43150</v>
      </c>
      <c r="Q35" s="38">
        <f>SUM(I35:K35)</f>
        <v>4559725</v>
      </c>
      <c r="R35" s="38">
        <f>SUM(L35:N35)</f>
        <v>548175</v>
      </c>
      <c r="S35" s="39">
        <f>SUM(C35:N35)</f>
        <v>3290250</v>
      </c>
    </row>
    <row r="36" spans="1:19" ht="13.5" customHeight="1">
      <c r="A36" s="57"/>
      <c r="B36" s="58" t="s">
        <v>85</v>
      </c>
      <c r="C36" s="59">
        <f t="shared" ref="C36:S36" si="30">SUM(C35)</f>
        <v>0</v>
      </c>
      <c r="D36" s="59">
        <f t="shared" si="30"/>
        <v>0</v>
      </c>
      <c r="E36" s="59">
        <f t="shared" si="30"/>
        <v>-1774500</v>
      </c>
      <c r="F36" s="59">
        <f t="shared" si="30"/>
        <v>-1828500</v>
      </c>
      <c r="G36" s="59">
        <f t="shared" si="30"/>
        <v>5500000</v>
      </c>
      <c r="H36" s="59">
        <f t="shared" si="30"/>
        <v>-3714650</v>
      </c>
      <c r="I36" s="59">
        <f t="shared" si="30"/>
        <v>-2916500</v>
      </c>
      <c r="J36" s="59">
        <f t="shared" si="30"/>
        <v>9021250</v>
      </c>
      <c r="K36" s="59">
        <f t="shared" si="30"/>
        <v>-1545025</v>
      </c>
      <c r="L36" s="59">
        <f t="shared" si="30"/>
        <v>-149500</v>
      </c>
      <c r="M36" s="59">
        <f t="shared" si="30"/>
        <v>719250</v>
      </c>
      <c r="N36" s="59">
        <f t="shared" si="30"/>
        <v>-21575</v>
      </c>
      <c r="O36" s="60">
        <f t="shared" si="30"/>
        <v>-1774500</v>
      </c>
      <c r="P36" s="60">
        <f t="shared" si="30"/>
        <v>-43150</v>
      </c>
      <c r="Q36" s="60">
        <f t="shared" si="30"/>
        <v>4559725</v>
      </c>
      <c r="R36" s="60">
        <f t="shared" si="30"/>
        <v>548175</v>
      </c>
      <c r="S36" s="61">
        <f t="shared" si="30"/>
        <v>3290250</v>
      </c>
    </row>
    <row r="37" spans="1:19" ht="13.5" customHeight="1">
      <c r="A37" s="4"/>
      <c r="B37" s="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6"/>
      <c r="P37" s="46"/>
      <c r="Q37" s="46"/>
      <c r="R37" s="46"/>
      <c r="S37" s="63"/>
    </row>
    <row r="38" spans="1:19" ht="13.5" customHeight="1">
      <c r="A38" s="32"/>
      <c r="B38" s="32" t="s">
        <v>86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39" spans="1:19" ht="13.5" customHeight="1">
      <c r="A39" s="50" t="s">
        <v>87</v>
      </c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2"/>
      <c r="P39" s="52"/>
      <c r="Q39" s="52"/>
      <c r="R39" s="52"/>
      <c r="S39" s="53"/>
    </row>
    <row r="40" spans="1:19" ht="13.5" customHeight="1">
      <c r="A40" s="4"/>
      <c r="B40" s="36" t="s">
        <v>88</v>
      </c>
      <c r="C40" s="54" t="e">
        <f>#REF!</f>
        <v>#REF!</v>
      </c>
      <c r="D40" s="54" t="e">
        <f>#REF!</f>
        <v>#REF!</v>
      </c>
      <c r="E40" s="54" t="e">
        <f>#REF!</f>
        <v>#REF!</v>
      </c>
      <c r="F40" s="54" t="e">
        <f>#REF!</f>
        <v>#REF!</v>
      </c>
      <c r="G40" s="54" t="e">
        <f>#REF!</f>
        <v>#REF!</v>
      </c>
      <c r="H40" s="54" t="e">
        <f>#REF!</f>
        <v>#REF!</v>
      </c>
      <c r="I40" s="54" t="e">
        <f>#REF!</f>
        <v>#REF!</v>
      </c>
      <c r="J40" s="54" t="e">
        <f>#REF!</f>
        <v>#REF!</v>
      </c>
      <c r="K40" s="54" t="e">
        <f>#REF!</f>
        <v>#REF!</v>
      </c>
      <c r="L40" s="54" t="e">
        <f>#REF!</f>
        <v>#REF!</v>
      </c>
      <c r="M40" s="54" t="e">
        <f>#REF!</f>
        <v>#REF!</v>
      </c>
      <c r="N40" s="54" t="e">
        <f>#REF!</f>
        <v>#REF!</v>
      </c>
      <c r="O40" s="38" t="e">
        <f t="shared" ref="O40:O43" si="31">SUM(C40:E40)</f>
        <v>#REF!</v>
      </c>
      <c r="P40" s="38" t="e">
        <f t="shared" ref="P40:P43" si="32">SUM(F40:H40)</f>
        <v>#REF!</v>
      </c>
      <c r="Q40" s="38" t="e">
        <f t="shared" ref="Q40:Q43" si="33">SUM(I40:K40)</f>
        <v>#REF!</v>
      </c>
      <c r="R40" s="38" t="e">
        <f t="shared" ref="R40:R43" si="34">SUM(L40:N40)</f>
        <v>#REF!</v>
      </c>
      <c r="S40" s="39" t="e">
        <f t="shared" ref="S40:S43" si="35">SUM(C40:N40)</f>
        <v>#REF!</v>
      </c>
    </row>
    <row r="41" spans="1:19" ht="13.5" customHeight="1">
      <c r="A41" s="4"/>
      <c r="B41" s="36" t="s">
        <v>89</v>
      </c>
      <c r="C41" s="54" t="e">
        <f t="shared" ref="C41:N41" si="36">C40*0.1</f>
        <v>#REF!</v>
      </c>
      <c r="D41" s="54" t="e">
        <f t="shared" si="36"/>
        <v>#REF!</v>
      </c>
      <c r="E41" s="54" t="e">
        <f t="shared" si="36"/>
        <v>#REF!</v>
      </c>
      <c r="F41" s="54" t="e">
        <f t="shared" si="36"/>
        <v>#REF!</v>
      </c>
      <c r="G41" s="54" t="e">
        <f t="shared" si="36"/>
        <v>#REF!</v>
      </c>
      <c r="H41" s="54" t="e">
        <f t="shared" si="36"/>
        <v>#REF!</v>
      </c>
      <c r="I41" s="54" t="e">
        <f t="shared" si="36"/>
        <v>#REF!</v>
      </c>
      <c r="J41" s="54" t="e">
        <f t="shared" si="36"/>
        <v>#REF!</v>
      </c>
      <c r="K41" s="54" t="e">
        <f t="shared" si="36"/>
        <v>#REF!</v>
      </c>
      <c r="L41" s="54" t="e">
        <f t="shared" si="36"/>
        <v>#REF!</v>
      </c>
      <c r="M41" s="54" t="e">
        <f t="shared" si="36"/>
        <v>#REF!</v>
      </c>
      <c r="N41" s="54" t="e">
        <f t="shared" si="36"/>
        <v>#REF!</v>
      </c>
      <c r="O41" s="38" t="e">
        <f t="shared" si="31"/>
        <v>#REF!</v>
      </c>
      <c r="P41" s="38" t="e">
        <f t="shared" si="32"/>
        <v>#REF!</v>
      </c>
      <c r="Q41" s="38" t="e">
        <f t="shared" si="33"/>
        <v>#REF!</v>
      </c>
      <c r="R41" s="38" t="e">
        <f t="shared" si="34"/>
        <v>#REF!</v>
      </c>
      <c r="S41" s="39" t="e">
        <f t="shared" si="35"/>
        <v>#REF!</v>
      </c>
    </row>
    <row r="42" spans="1:19" ht="13.5" customHeight="1">
      <c r="A42" s="4"/>
      <c r="B42" s="36" t="s">
        <v>90</v>
      </c>
      <c r="C42" s="54" t="e">
        <f t="shared" ref="C42:N42" si="37">C40*0.1</f>
        <v>#REF!</v>
      </c>
      <c r="D42" s="54" t="e">
        <f t="shared" si="37"/>
        <v>#REF!</v>
      </c>
      <c r="E42" s="54" t="e">
        <f t="shared" si="37"/>
        <v>#REF!</v>
      </c>
      <c r="F42" s="54" t="e">
        <f t="shared" si="37"/>
        <v>#REF!</v>
      </c>
      <c r="G42" s="54" t="e">
        <f t="shared" si="37"/>
        <v>#REF!</v>
      </c>
      <c r="H42" s="54" t="e">
        <f t="shared" si="37"/>
        <v>#REF!</v>
      </c>
      <c r="I42" s="54" t="e">
        <f t="shared" si="37"/>
        <v>#REF!</v>
      </c>
      <c r="J42" s="54" t="e">
        <f t="shared" si="37"/>
        <v>#REF!</v>
      </c>
      <c r="K42" s="54" t="e">
        <f t="shared" si="37"/>
        <v>#REF!</v>
      </c>
      <c r="L42" s="54" t="e">
        <f t="shared" si="37"/>
        <v>#REF!</v>
      </c>
      <c r="M42" s="54" t="e">
        <f t="shared" si="37"/>
        <v>#REF!</v>
      </c>
      <c r="N42" s="54" t="e">
        <f t="shared" si="37"/>
        <v>#REF!</v>
      </c>
      <c r="O42" s="38" t="e">
        <f t="shared" si="31"/>
        <v>#REF!</v>
      </c>
      <c r="P42" s="38" t="e">
        <f t="shared" si="32"/>
        <v>#REF!</v>
      </c>
      <c r="Q42" s="38" t="e">
        <f t="shared" si="33"/>
        <v>#REF!</v>
      </c>
      <c r="R42" s="38" t="e">
        <f t="shared" si="34"/>
        <v>#REF!</v>
      </c>
      <c r="S42" s="39" t="e">
        <f t="shared" si="35"/>
        <v>#REF!</v>
      </c>
    </row>
    <row r="43" spans="1:19" ht="13.5" customHeight="1">
      <c r="A43" s="55"/>
      <c r="B43" s="56" t="s">
        <v>91</v>
      </c>
      <c r="C43" s="54" t="e">
        <f>#REF!</f>
        <v>#REF!</v>
      </c>
      <c r="D43" s="54" t="e">
        <f>#REF!</f>
        <v>#REF!</v>
      </c>
      <c r="E43" s="54" t="e">
        <f>#REF!</f>
        <v>#REF!</v>
      </c>
      <c r="F43" s="54" t="e">
        <f>#REF!</f>
        <v>#REF!</v>
      </c>
      <c r="G43" s="54" t="e">
        <f>#REF!</f>
        <v>#REF!</v>
      </c>
      <c r="H43" s="54" t="e">
        <f>#REF!</f>
        <v>#REF!</v>
      </c>
      <c r="I43" s="54" t="e">
        <f>#REF!</f>
        <v>#REF!</v>
      </c>
      <c r="J43" s="54" t="e">
        <f>#REF!</f>
        <v>#REF!</v>
      </c>
      <c r="K43" s="54" t="e">
        <f>#REF!</f>
        <v>#REF!</v>
      </c>
      <c r="L43" s="54" t="e">
        <f>#REF!</f>
        <v>#REF!</v>
      </c>
      <c r="M43" s="54" t="e">
        <f>#REF!</f>
        <v>#REF!</v>
      </c>
      <c r="N43" s="54" t="e">
        <f>#REF!</f>
        <v>#REF!</v>
      </c>
      <c r="O43" s="38" t="e">
        <f t="shared" si="31"/>
        <v>#REF!</v>
      </c>
      <c r="P43" s="38" t="e">
        <f t="shared" si="32"/>
        <v>#REF!</v>
      </c>
      <c r="Q43" s="38" t="e">
        <f t="shared" si="33"/>
        <v>#REF!</v>
      </c>
      <c r="R43" s="38" t="e">
        <f t="shared" si="34"/>
        <v>#REF!</v>
      </c>
      <c r="S43" s="39" t="e">
        <f t="shared" si="35"/>
        <v>#REF!</v>
      </c>
    </row>
    <row r="44" spans="1:19" ht="13.5" customHeight="1">
      <c r="A44" s="57"/>
      <c r="B44" s="58" t="s">
        <v>92</v>
      </c>
      <c r="C44" s="59" t="e">
        <f t="shared" ref="C44:S44" si="38">SUM(C40:C43)</f>
        <v>#REF!</v>
      </c>
      <c r="D44" s="59" t="e">
        <f t="shared" si="38"/>
        <v>#REF!</v>
      </c>
      <c r="E44" s="59" t="e">
        <f t="shared" si="38"/>
        <v>#REF!</v>
      </c>
      <c r="F44" s="59" t="e">
        <f t="shared" si="38"/>
        <v>#REF!</v>
      </c>
      <c r="G44" s="59" t="e">
        <f t="shared" si="38"/>
        <v>#REF!</v>
      </c>
      <c r="H44" s="59" t="e">
        <f t="shared" si="38"/>
        <v>#REF!</v>
      </c>
      <c r="I44" s="59" t="e">
        <f t="shared" si="38"/>
        <v>#REF!</v>
      </c>
      <c r="J44" s="59" t="e">
        <f t="shared" si="38"/>
        <v>#REF!</v>
      </c>
      <c r="K44" s="59" t="e">
        <f t="shared" si="38"/>
        <v>#REF!</v>
      </c>
      <c r="L44" s="59" t="e">
        <f t="shared" si="38"/>
        <v>#REF!</v>
      </c>
      <c r="M44" s="59" t="e">
        <f t="shared" si="38"/>
        <v>#REF!</v>
      </c>
      <c r="N44" s="59" t="e">
        <f t="shared" si="38"/>
        <v>#REF!</v>
      </c>
      <c r="O44" s="60" t="e">
        <f t="shared" si="38"/>
        <v>#REF!</v>
      </c>
      <c r="P44" s="60" t="e">
        <f t="shared" si="38"/>
        <v>#REF!</v>
      </c>
      <c r="Q44" s="60" t="e">
        <f t="shared" si="38"/>
        <v>#REF!</v>
      </c>
      <c r="R44" s="60" t="e">
        <f t="shared" si="38"/>
        <v>#REF!</v>
      </c>
      <c r="S44" s="61" t="e">
        <f t="shared" si="38"/>
        <v>#REF!</v>
      </c>
    </row>
    <row r="45" spans="1:19" ht="13.5" customHeight="1">
      <c r="A45" s="4"/>
      <c r="B45" s="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6"/>
      <c r="P45" s="46"/>
      <c r="Q45" s="46"/>
      <c r="R45" s="46"/>
      <c r="S45" s="63"/>
    </row>
    <row r="46" spans="1:19" ht="13.5" customHeight="1">
      <c r="A46" s="67" t="s">
        <v>93</v>
      </c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52"/>
      <c r="Q46" s="52"/>
      <c r="R46" s="52"/>
      <c r="S46" s="53"/>
    </row>
    <row r="47" spans="1:19" ht="13.5" customHeight="1">
      <c r="A47" s="68"/>
      <c r="B47" s="54" t="s">
        <v>94</v>
      </c>
      <c r="C47" s="12">
        <v>3000</v>
      </c>
      <c r="D47" s="12">
        <f t="shared" ref="D47:N47" si="39">C47</f>
        <v>3000</v>
      </c>
      <c r="E47" s="12">
        <f t="shared" si="39"/>
        <v>3000</v>
      </c>
      <c r="F47" s="12">
        <f t="shared" si="39"/>
        <v>3000</v>
      </c>
      <c r="G47" s="12">
        <f t="shared" si="39"/>
        <v>3000</v>
      </c>
      <c r="H47" s="12">
        <f t="shared" si="39"/>
        <v>3000</v>
      </c>
      <c r="I47" s="12">
        <f t="shared" si="39"/>
        <v>3000</v>
      </c>
      <c r="J47" s="12">
        <f t="shared" si="39"/>
        <v>3000</v>
      </c>
      <c r="K47" s="12">
        <f t="shared" si="39"/>
        <v>3000</v>
      </c>
      <c r="L47" s="12">
        <f t="shared" si="39"/>
        <v>3000</v>
      </c>
      <c r="M47" s="12">
        <f t="shared" si="39"/>
        <v>3000</v>
      </c>
      <c r="N47" s="12">
        <f t="shared" si="39"/>
        <v>3000</v>
      </c>
      <c r="O47" s="38">
        <f t="shared" ref="O47:O54" si="40">SUM(C47:E47)</f>
        <v>9000</v>
      </c>
      <c r="P47" s="38">
        <f t="shared" ref="P47:P54" si="41">SUM(F47:H47)</f>
        <v>9000</v>
      </c>
      <c r="Q47" s="38">
        <f t="shared" ref="Q47:Q54" si="42">SUM(I47:K47)</f>
        <v>9000</v>
      </c>
      <c r="R47" s="38">
        <f t="shared" ref="R47:R54" si="43">SUM(L47:N47)</f>
        <v>9000</v>
      </c>
      <c r="S47" s="39">
        <f t="shared" ref="S47:S54" si="44">SUM(C47:N47)</f>
        <v>36000</v>
      </c>
    </row>
    <row r="48" spans="1:19" ht="13.5" customHeight="1">
      <c r="A48" s="68"/>
      <c r="B48" s="54" t="s">
        <v>95</v>
      </c>
      <c r="C48" s="12">
        <v>0</v>
      </c>
      <c r="D48" s="12">
        <f t="shared" ref="D48:E48" si="45">C48</f>
        <v>0</v>
      </c>
      <c r="E48" s="12">
        <f t="shared" si="45"/>
        <v>0</v>
      </c>
      <c r="F48" s="12">
        <v>5000</v>
      </c>
      <c r="G48" s="12">
        <v>5000</v>
      </c>
      <c r="H48" s="12">
        <v>5000</v>
      </c>
      <c r="I48" s="12">
        <f t="shared" ref="I48:N48" si="46">H48</f>
        <v>5000</v>
      </c>
      <c r="J48" s="12">
        <f t="shared" si="46"/>
        <v>5000</v>
      </c>
      <c r="K48" s="12">
        <f t="shared" si="46"/>
        <v>5000</v>
      </c>
      <c r="L48" s="12">
        <f t="shared" si="46"/>
        <v>5000</v>
      </c>
      <c r="M48" s="12">
        <f t="shared" si="46"/>
        <v>5000</v>
      </c>
      <c r="N48" s="12">
        <f t="shared" si="46"/>
        <v>5000</v>
      </c>
      <c r="O48" s="38">
        <f t="shared" si="40"/>
        <v>0</v>
      </c>
      <c r="P48" s="38">
        <f t="shared" si="41"/>
        <v>15000</v>
      </c>
      <c r="Q48" s="38">
        <f t="shared" si="42"/>
        <v>15000</v>
      </c>
      <c r="R48" s="38">
        <f t="shared" si="43"/>
        <v>15000</v>
      </c>
      <c r="S48" s="69">
        <f t="shared" si="44"/>
        <v>45000</v>
      </c>
    </row>
    <row r="49" spans="1:19" ht="13.5" customHeight="1">
      <c r="A49" s="68"/>
      <c r="B49" s="54" t="s">
        <v>96</v>
      </c>
      <c r="C49" s="12">
        <v>0</v>
      </c>
      <c r="D49" s="12">
        <f t="shared" ref="D49:E49" si="47">C49</f>
        <v>0</v>
      </c>
      <c r="E49" s="12">
        <f t="shared" si="47"/>
        <v>0</v>
      </c>
      <c r="F49" s="12">
        <v>4000</v>
      </c>
      <c r="G49" s="12">
        <v>4000</v>
      </c>
      <c r="H49" s="12">
        <f t="shared" ref="H49:N49" si="48">G49</f>
        <v>4000</v>
      </c>
      <c r="I49" s="12">
        <f t="shared" si="48"/>
        <v>4000</v>
      </c>
      <c r="J49" s="12">
        <f t="shared" si="48"/>
        <v>4000</v>
      </c>
      <c r="K49" s="12">
        <f t="shared" si="48"/>
        <v>4000</v>
      </c>
      <c r="L49" s="12">
        <f t="shared" si="48"/>
        <v>4000</v>
      </c>
      <c r="M49" s="12">
        <f t="shared" si="48"/>
        <v>4000</v>
      </c>
      <c r="N49" s="12">
        <f t="shared" si="48"/>
        <v>4000</v>
      </c>
      <c r="O49" s="38">
        <f t="shared" si="40"/>
        <v>0</v>
      </c>
      <c r="P49" s="38">
        <f t="shared" si="41"/>
        <v>12000</v>
      </c>
      <c r="Q49" s="38">
        <f t="shared" si="42"/>
        <v>12000</v>
      </c>
      <c r="R49" s="38">
        <f t="shared" si="43"/>
        <v>12000</v>
      </c>
      <c r="S49" s="69">
        <f t="shared" si="44"/>
        <v>36000</v>
      </c>
    </row>
    <row r="50" spans="1:19" ht="13.5" customHeight="1">
      <c r="A50" s="68"/>
      <c r="B50" s="54" t="s">
        <v>97</v>
      </c>
      <c r="C50" s="12">
        <v>0</v>
      </c>
      <c r="D50" s="12">
        <f t="shared" ref="D50:E50" si="49">C50</f>
        <v>0</v>
      </c>
      <c r="E50" s="12">
        <f t="shared" si="49"/>
        <v>0</v>
      </c>
      <c r="F50" s="12">
        <v>5000</v>
      </c>
      <c r="G50" s="12">
        <v>5000</v>
      </c>
      <c r="H50" s="12">
        <f t="shared" ref="H50:N50" si="50">G50</f>
        <v>5000</v>
      </c>
      <c r="I50" s="12">
        <f t="shared" si="50"/>
        <v>5000</v>
      </c>
      <c r="J50" s="12">
        <f t="shared" si="50"/>
        <v>5000</v>
      </c>
      <c r="K50" s="12">
        <f t="shared" si="50"/>
        <v>5000</v>
      </c>
      <c r="L50" s="12">
        <f t="shared" si="50"/>
        <v>5000</v>
      </c>
      <c r="M50" s="12">
        <f t="shared" si="50"/>
        <v>5000</v>
      </c>
      <c r="N50" s="12">
        <f t="shared" si="50"/>
        <v>5000</v>
      </c>
      <c r="O50" s="38">
        <f t="shared" si="40"/>
        <v>0</v>
      </c>
      <c r="P50" s="38">
        <f t="shared" si="41"/>
        <v>15000</v>
      </c>
      <c r="Q50" s="38">
        <f t="shared" si="42"/>
        <v>15000</v>
      </c>
      <c r="R50" s="38">
        <f t="shared" si="43"/>
        <v>15000</v>
      </c>
      <c r="S50" s="69">
        <f t="shared" si="44"/>
        <v>45000</v>
      </c>
    </row>
    <row r="51" spans="1:19" ht="13.5" customHeight="1">
      <c r="A51" s="68"/>
      <c r="B51" s="54" t="s">
        <v>98</v>
      </c>
      <c r="C51" s="12">
        <v>12000</v>
      </c>
      <c r="D51" s="12">
        <f t="shared" ref="D51:N51" si="51">C51</f>
        <v>12000</v>
      </c>
      <c r="E51" s="12">
        <f t="shared" si="51"/>
        <v>12000</v>
      </c>
      <c r="F51" s="12">
        <f t="shared" si="51"/>
        <v>12000</v>
      </c>
      <c r="G51" s="12">
        <f t="shared" si="51"/>
        <v>12000</v>
      </c>
      <c r="H51" s="12">
        <f t="shared" si="51"/>
        <v>12000</v>
      </c>
      <c r="I51" s="12">
        <f t="shared" si="51"/>
        <v>12000</v>
      </c>
      <c r="J51" s="12">
        <f t="shared" si="51"/>
        <v>12000</v>
      </c>
      <c r="K51" s="12">
        <f t="shared" si="51"/>
        <v>12000</v>
      </c>
      <c r="L51" s="12">
        <f t="shared" si="51"/>
        <v>12000</v>
      </c>
      <c r="M51" s="12">
        <f t="shared" si="51"/>
        <v>12000</v>
      </c>
      <c r="N51" s="12">
        <f t="shared" si="51"/>
        <v>12000</v>
      </c>
      <c r="O51" s="38">
        <f t="shared" si="40"/>
        <v>36000</v>
      </c>
      <c r="P51" s="38">
        <f t="shared" si="41"/>
        <v>36000</v>
      </c>
      <c r="Q51" s="38">
        <f t="shared" si="42"/>
        <v>36000</v>
      </c>
      <c r="R51" s="38">
        <f t="shared" si="43"/>
        <v>36000</v>
      </c>
      <c r="S51" s="69">
        <f t="shared" si="44"/>
        <v>144000</v>
      </c>
    </row>
    <row r="52" spans="1:19" ht="13.5" customHeight="1">
      <c r="A52" s="68"/>
      <c r="B52" s="54" t="s">
        <v>99</v>
      </c>
      <c r="C52" s="12">
        <v>0</v>
      </c>
      <c r="D52" s="12">
        <f t="shared" ref="D52:G52" si="52">C52</f>
        <v>0</v>
      </c>
      <c r="E52" s="12">
        <f t="shared" si="52"/>
        <v>0</v>
      </c>
      <c r="F52" s="12">
        <f t="shared" si="52"/>
        <v>0</v>
      </c>
      <c r="G52" s="12">
        <f t="shared" si="52"/>
        <v>0</v>
      </c>
      <c r="H52" s="12">
        <v>5000</v>
      </c>
      <c r="I52" s="12">
        <f t="shared" ref="I52:N52" si="53">H52</f>
        <v>5000</v>
      </c>
      <c r="J52" s="12">
        <f t="shared" si="53"/>
        <v>5000</v>
      </c>
      <c r="K52" s="12">
        <f t="shared" si="53"/>
        <v>5000</v>
      </c>
      <c r="L52" s="12">
        <f t="shared" si="53"/>
        <v>5000</v>
      </c>
      <c r="M52" s="12">
        <f t="shared" si="53"/>
        <v>5000</v>
      </c>
      <c r="N52" s="12">
        <f t="shared" si="53"/>
        <v>5000</v>
      </c>
      <c r="O52" s="38">
        <f t="shared" si="40"/>
        <v>0</v>
      </c>
      <c r="P52" s="38">
        <f t="shared" si="41"/>
        <v>5000</v>
      </c>
      <c r="Q52" s="38">
        <f t="shared" si="42"/>
        <v>15000</v>
      </c>
      <c r="R52" s="38">
        <f t="shared" si="43"/>
        <v>15000</v>
      </c>
      <c r="S52" s="69">
        <f t="shared" si="44"/>
        <v>35000</v>
      </c>
    </row>
    <row r="53" spans="1:19" ht="13.5" customHeight="1">
      <c r="A53" s="68"/>
      <c r="B53" s="54" t="s">
        <v>100</v>
      </c>
      <c r="C53" s="12">
        <v>0</v>
      </c>
      <c r="D53" s="12">
        <f t="shared" ref="D53:F53" si="54">C53</f>
        <v>0</v>
      </c>
      <c r="E53" s="12">
        <f t="shared" si="54"/>
        <v>0</v>
      </c>
      <c r="F53" s="12">
        <f t="shared" si="54"/>
        <v>0</v>
      </c>
      <c r="G53" s="12">
        <v>3000</v>
      </c>
      <c r="H53" s="12">
        <f t="shared" ref="H53:N53" si="55">G53</f>
        <v>3000</v>
      </c>
      <c r="I53" s="12">
        <f t="shared" si="55"/>
        <v>3000</v>
      </c>
      <c r="J53" s="12">
        <f t="shared" si="55"/>
        <v>3000</v>
      </c>
      <c r="K53" s="12">
        <f t="shared" si="55"/>
        <v>3000</v>
      </c>
      <c r="L53" s="12">
        <f t="shared" si="55"/>
        <v>3000</v>
      </c>
      <c r="M53" s="12">
        <f t="shared" si="55"/>
        <v>3000</v>
      </c>
      <c r="N53" s="12">
        <f t="shared" si="55"/>
        <v>3000</v>
      </c>
      <c r="O53" s="38">
        <f t="shared" si="40"/>
        <v>0</v>
      </c>
      <c r="P53" s="38">
        <f t="shared" si="41"/>
        <v>6000</v>
      </c>
      <c r="Q53" s="38">
        <f t="shared" si="42"/>
        <v>9000</v>
      </c>
      <c r="R53" s="38">
        <f t="shared" si="43"/>
        <v>9000</v>
      </c>
      <c r="S53" s="69">
        <f t="shared" si="44"/>
        <v>24000</v>
      </c>
    </row>
    <row r="54" spans="1:19" ht="13.5" customHeight="1">
      <c r="A54" s="70"/>
      <c r="B54" s="71" t="s">
        <v>101</v>
      </c>
      <c r="C54" s="12">
        <v>0</v>
      </c>
      <c r="D54" s="12">
        <f>C54</f>
        <v>0</v>
      </c>
      <c r="E54" s="12">
        <v>6000</v>
      </c>
      <c r="F54" s="12">
        <f t="shared" ref="F54:N54" si="56">E54</f>
        <v>6000</v>
      </c>
      <c r="G54" s="12">
        <f t="shared" si="56"/>
        <v>6000</v>
      </c>
      <c r="H54" s="12">
        <f t="shared" si="56"/>
        <v>6000</v>
      </c>
      <c r="I54" s="12">
        <f t="shared" si="56"/>
        <v>6000</v>
      </c>
      <c r="J54" s="12">
        <f t="shared" si="56"/>
        <v>6000</v>
      </c>
      <c r="K54" s="12">
        <f t="shared" si="56"/>
        <v>6000</v>
      </c>
      <c r="L54" s="12">
        <f t="shared" si="56"/>
        <v>6000</v>
      </c>
      <c r="M54" s="12">
        <f t="shared" si="56"/>
        <v>6000</v>
      </c>
      <c r="N54" s="12">
        <f t="shared" si="56"/>
        <v>6000</v>
      </c>
      <c r="O54" s="38">
        <f t="shared" si="40"/>
        <v>6000</v>
      </c>
      <c r="P54" s="38">
        <f t="shared" si="41"/>
        <v>18000</v>
      </c>
      <c r="Q54" s="38">
        <f t="shared" si="42"/>
        <v>18000</v>
      </c>
      <c r="R54" s="38">
        <f t="shared" si="43"/>
        <v>18000</v>
      </c>
      <c r="S54" s="69">
        <f t="shared" si="44"/>
        <v>60000</v>
      </c>
    </row>
    <row r="55" spans="1:19" ht="13.5" customHeight="1">
      <c r="A55" s="4"/>
      <c r="B55" s="58" t="s">
        <v>102</v>
      </c>
      <c r="C55" s="72">
        <f t="shared" ref="C55:R55" si="57">SUM(C47:C54)</f>
        <v>15000</v>
      </c>
      <c r="D55" s="72">
        <f t="shared" si="57"/>
        <v>15000</v>
      </c>
      <c r="E55" s="72">
        <f t="shared" si="57"/>
        <v>21000</v>
      </c>
      <c r="F55" s="72">
        <f t="shared" si="57"/>
        <v>35000</v>
      </c>
      <c r="G55" s="72">
        <f t="shared" si="57"/>
        <v>38000</v>
      </c>
      <c r="H55" s="72">
        <f t="shared" si="57"/>
        <v>43000</v>
      </c>
      <c r="I55" s="72">
        <f t="shared" si="57"/>
        <v>43000</v>
      </c>
      <c r="J55" s="72">
        <f t="shared" si="57"/>
        <v>43000</v>
      </c>
      <c r="K55" s="72">
        <f t="shared" si="57"/>
        <v>43000</v>
      </c>
      <c r="L55" s="72">
        <f t="shared" si="57"/>
        <v>43000</v>
      </c>
      <c r="M55" s="72">
        <f t="shared" si="57"/>
        <v>43000</v>
      </c>
      <c r="N55" s="72">
        <f t="shared" si="57"/>
        <v>43000</v>
      </c>
      <c r="O55" s="73">
        <f t="shared" si="57"/>
        <v>51000</v>
      </c>
      <c r="P55" s="73">
        <f t="shared" si="57"/>
        <v>116000</v>
      </c>
      <c r="Q55" s="73">
        <f t="shared" si="57"/>
        <v>129000</v>
      </c>
      <c r="R55" s="73">
        <f t="shared" si="57"/>
        <v>129000</v>
      </c>
      <c r="S55" s="74">
        <f>SUM(S47:S54)</f>
        <v>425000</v>
      </c>
    </row>
    <row r="56" spans="1:19" ht="13.5" customHeight="1">
      <c r="A56" s="4"/>
      <c r="B56" s="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6"/>
      <c r="P56" s="46"/>
      <c r="Q56" s="46"/>
      <c r="R56" s="46"/>
      <c r="S56" s="63"/>
    </row>
    <row r="57" spans="1:19" ht="13.5" customHeight="1">
      <c r="A57" s="67" t="s">
        <v>103</v>
      </c>
      <c r="B57" s="50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2"/>
      <c r="P57" s="52"/>
      <c r="Q57" s="52"/>
      <c r="R57" s="52"/>
      <c r="S57" s="53"/>
    </row>
    <row r="58" spans="1:19" ht="13.5" customHeight="1">
      <c r="A58" s="68"/>
      <c r="B58" s="54" t="s">
        <v>104</v>
      </c>
      <c r="C58" s="54">
        <f>Insurance!D9</f>
        <v>1000</v>
      </c>
      <c r="D58" s="54">
        <f t="shared" ref="D58:E58" si="58">C58</f>
        <v>1000</v>
      </c>
      <c r="E58" s="54">
        <f t="shared" si="58"/>
        <v>1000</v>
      </c>
      <c r="F58" s="54">
        <v>3000</v>
      </c>
      <c r="G58" s="54">
        <f t="shared" ref="G58:N58" si="59">F58</f>
        <v>3000</v>
      </c>
      <c r="H58" s="54">
        <f t="shared" si="59"/>
        <v>3000</v>
      </c>
      <c r="I58" s="54">
        <f t="shared" si="59"/>
        <v>3000</v>
      </c>
      <c r="J58" s="54">
        <f t="shared" si="59"/>
        <v>3000</v>
      </c>
      <c r="K58" s="54">
        <f t="shared" si="59"/>
        <v>3000</v>
      </c>
      <c r="L58" s="54">
        <f t="shared" si="59"/>
        <v>3000</v>
      </c>
      <c r="M58" s="54">
        <f t="shared" si="59"/>
        <v>3000</v>
      </c>
      <c r="N58" s="54">
        <f t="shared" si="59"/>
        <v>3000</v>
      </c>
      <c r="O58" s="38">
        <f t="shared" ref="O58:O65" si="60">SUM(C58:E58)</f>
        <v>3000</v>
      </c>
      <c r="P58" s="38">
        <f t="shared" ref="P58:P65" si="61">SUM(F58:H58)</f>
        <v>9000</v>
      </c>
      <c r="Q58" s="38">
        <f t="shared" ref="Q58:Q65" si="62">SUM(I58:K58)</f>
        <v>9000</v>
      </c>
      <c r="R58" s="38">
        <f t="shared" ref="R58:R65" si="63">SUM(L58:N58)</f>
        <v>9000</v>
      </c>
      <c r="S58" s="39">
        <f t="shared" ref="S58:S65" si="64">SUM(C58:N58)</f>
        <v>30000</v>
      </c>
    </row>
    <row r="59" spans="1:19" ht="13.5" customHeight="1">
      <c r="A59" s="68"/>
      <c r="B59" s="54" t="s">
        <v>105</v>
      </c>
      <c r="C59" s="54">
        <v>0</v>
      </c>
      <c r="D59" s="54">
        <v>0</v>
      </c>
      <c r="E59" s="54">
        <v>0</v>
      </c>
      <c r="F59" s="54">
        <v>0</v>
      </c>
      <c r="G59" s="54">
        <f>5*750</f>
        <v>3750</v>
      </c>
      <c r="H59" s="54">
        <f t="shared" ref="H59:N59" si="65">G59</f>
        <v>3750</v>
      </c>
      <c r="I59" s="54">
        <f t="shared" si="65"/>
        <v>3750</v>
      </c>
      <c r="J59" s="54">
        <f t="shared" si="65"/>
        <v>3750</v>
      </c>
      <c r="K59" s="54">
        <f t="shared" si="65"/>
        <v>3750</v>
      </c>
      <c r="L59" s="54">
        <f t="shared" si="65"/>
        <v>3750</v>
      </c>
      <c r="M59" s="54">
        <f t="shared" si="65"/>
        <v>3750</v>
      </c>
      <c r="N59" s="54">
        <f t="shared" si="65"/>
        <v>3750</v>
      </c>
      <c r="O59" s="38">
        <f t="shared" si="60"/>
        <v>0</v>
      </c>
      <c r="P59" s="38">
        <f t="shared" si="61"/>
        <v>7500</v>
      </c>
      <c r="Q59" s="38">
        <f t="shared" si="62"/>
        <v>11250</v>
      </c>
      <c r="R59" s="38">
        <f t="shared" si="63"/>
        <v>11250</v>
      </c>
      <c r="S59" s="39">
        <f t="shared" si="64"/>
        <v>30000</v>
      </c>
    </row>
    <row r="60" spans="1:19" ht="13.5" customHeight="1">
      <c r="A60" s="68"/>
      <c r="B60" s="54" t="s">
        <v>106</v>
      </c>
      <c r="C60" s="54">
        <v>0</v>
      </c>
      <c r="D60" s="54">
        <v>10000</v>
      </c>
      <c r="E60" s="54">
        <f t="shared" ref="E60:N60" si="66">D60</f>
        <v>10000</v>
      </c>
      <c r="F60" s="54">
        <f t="shared" si="66"/>
        <v>10000</v>
      </c>
      <c r="G60" s="54">
        <f t="shared" si="66"/>
        <v>10000</v>
      </c>
      <c r="H60" s="54">
        <f t="shared" si="66"/>
        <v>10000</v>
      </c>
      <c r="I60" s="54">
        <f t="shared" si="66"/>
        <v>10000</v>
      </c>
      <c r="J60" s="54">
        <f t="shared" si="66"/>
        <v>10000</v>
      </c>
      <c r="K60" s="54">
        <f t="shared" si="66"/>
        <v>10000</v>
      </c>
      <c r="L60" s="54">
        <f t="shared" si="66"/>
        <v>10000</v>
      </c>
      <c r="M60" s="54">
        <f t="shared" si="66"/>
        <v>10000</v>
      </c>
      <c r="N60" s="54">
        <f t="shared" si="66"/>
        <v>10000</v>
      </c>
      <c r="O60" s="38">
        <f t="shared" si="60"/>
        <v>20000</v>
      </c>
      <c r="P60" s="38">
        <f t="shared" si="61"/>
        <v>30000</v>
      </c>
      <c r="Q60" s="38">
        <f t="shared" si="62"/>
        <v>30000</v>
      </c>
      <c r="R60" s="38">
        <f t="shared" si="63"/>
        <v>30000</v>
      </c>
      <c r="S60" s="39">
        <f t="shared" si="64"/>
        <v>110000</v>
      </c>
    </row>
    <row r="61" spans="1:19" ht="13.5" customHeight="1">
      <c r="A61" s="12"/>
      <c r="B61" s="54" t="s">
        <v>107</v>
      </c>
      <c r="C61" s="54">
        <v>1500</v>
      </c>
      <c r="D61" s="54">
        <f t="shared" ref="D61:N61" si="67">C61</f>
        <v>1500</v>
      </c>
      <c r="E61" s="54">
        <f t="shared" si="67"/>
        <v>1500</v>
      </c>
      <c r="F61" s="54">
        <f t="shared" si="67"/>
        <v>1500</v>
      </c>
      <c r="G61" s="54">
        <f t="shared" si="67"/>
        <v>1500</v>
      </c>
      <c r="H61" s="54">
        <f t="shared" si="67"/>
        <v>1500</v>
      </c>
      <c r="I61" s="54">
        <f t="shared" si="67"/>
        <v>1500</v>
      </c>
      <c r="J61" s="54">
        <f t="shared" si="67"/>
        <v>1500</v>
      </c>
      <c r="K61" s="54">
        <f t="shared" si="67"/>
        <v>1500</v>
      </c>
      <c r="L61" s="54">
        <f t="shared" si="67"/>
        <v>1500</v>
      </c>
      <c r="M61" s="54">
        <f t="shared" si="67"/>
        <v>1500</v>
      </c>
      <c r="N61" s="54">
        <f t="shared" si="67"/>
        <v>1500</v>
      </c>
      <c r="O61" s="38">
        <f t="shared" si="60"/>
        <v>4500</v>
      </c>
      <c r="P61" s="38">
        <f t="shared" si="61"/>
        <v>4500</v>
      </c>
      <c r="Q61" s="38">
        <f t="shared" si="62"/>
        <v>4500</v>
      </c>
      <c r="R61" s="38">
        <f t="shared" si="63"/>
        <v>4500</v>
      </c>
      <c r="S61" s="39">
        <f t="shared" si="64"/>
        <v>18000</v>
      </c>
    </row>
    <row r="62" spans="1:19" ht="13.5" customHeight="1">
      <c r="A62" s="12"/>
      <c r="B62" s="54" t="s">
        <v>108</v>
      </c>
      <c r="C62" s="54">
        <v>5000</v>
      </c>
      <c r="D62" s="54">
        <f t="shared" ref="D62:F62" si="68">C62</f>
        <v>5000</v>
      </c>
      <c r="E62" s="54">
        <f t="shared" si="68"/>
        <v>5000</v>
      </c>
      <c r="F62" s="54">
        <f t="shared" si="68"/>
        <v>5000</v>
      </c>
      <c r="G62" s="54">
        <v>8000</v>
      </c>
      <c r="H62" s="54">
        <f t="shared" ref="H62:N62" si="69">G62</f>
        <v>8000</v>
      </c>
      <c r="I62" s="54">
        <f t="shared" si="69"/>
        <v>8000</v>
      </c>
      <c r="J62" s="54">
        <f t="shared" si="69"/>
        <v>8000</v>
      </c>
      <c r="K62" s="54">
        <f t="shared" si="69"/>
        <v>8000</v>
      </c>
      <c r="L62" s="54">
        <f t="shared" si="69"/>
        <v>8000</v>
      </c>
      <c r="M62" s="54">
        <f t="shared" si="69"/>
        <v>8000</v>
      </c>
      <c r="N62" s="54">
        <f t="shared" si="69"/>
        <v>8000</v>
      </c>
      <c r="O62" s="38">
        <f t="shared" si="60"/>
        <v>15000</v>
      </c>
      <c r="P62" s="38">
        <f t="shared" si="61"/>
        <v>21000</v>
      </c>
      <c r="Q62" s="38">
        <f t="shared" si="62"/>
        <v>24000</v>
      </c>
      <c r="R62" s="38">
        <f t="shared" si="63"/>
        <v>24000</v>
      </c>
      <c r="S62" s="39">
        <f t="shared" si="64"/>
        <v>84000</v>
      </c>
    </row>
    <row r="63" spans="1:19" ht="13.5" customHeight="1">
      <c r="A63" s="12"/>
      <c r="B63" s="54" t="s">
        <v>109</v>
      </c>
      <c r="C63" s="54">
        <v>0</v>
      </c>
      <c r="D63" s="54">
        <f t="shared" ref="D63:G63" si="70">C63</f>
        <v>0</v>
      </c>
      <c r="E63" s="54">
        <f t="shared" si="70"/>
        <v>0</v>
      </c>
      <c r="F63" s="54">
        <f t="shared" si="70"/>
        <v>0</v>
      </c>
      <c r="G63" s="54">
        <f t="shared" si="70"/>
        <v>0</v>
      </c>
      <c r="H63" s="54">
        <v>2500</v>
      </c>
      <c r="I63" s="54">
        <f t="shared" ref="I63:N63" si="71">H63</f>
        <v>2500</v>
      </c>
      <c r="J63" s="54">
        <f t="shared" si="71"/>
        <v>2500</v>
      </c>
      <c r="K63" s="54">
        <f t="shared" si="71"/>
        <v>2500</v>
      </c>
      <c r="L63" s="54">
        <f t="shared" si="71"/>
        <v>2500</v>
      </c>
      <c r="M63" s="54">
        <f t="shared" si="71"/>
        <v>2500</v>
      </c>
      <c r="N63" s="54">
        <f t="shared" si="71"/>
        <v>2500</v>
      </c>
      <c r="O63" s="38">
        <f t="shared" si="60"/>
        <v>0</v>
      </c>
      <c r="P63" s="38">
        <f t="shared" si="61"/>
        <v>2500</v>
      </c>
      <c r="Q63" s="38">
        <f t="shared" si="62"/>
        <v>7500</v>
      </c>
      <c r="R63" s="38">
        <f t="shared" si="63"/>
        <v>7500</v>
      </c>
      <c r="S63" s="39">
        <f t="shared" si="64"/>
        <v>17500</v>
      </c>
    </row>
    <row r="64" spans="1:19" ht="13.5" customHeight="1">
      <c r="A64" s="12"/>
      <c r="B64" s="54" t="s">
        <v>110</v>
      </c>
      <c r="C64" s="54">
        <v>0</v>
      </c>
      <c r="D64" s="54">
        <f t="shared" ref="D64:E64" si="72">C64</f>
        <v>0</v>
      </c>
      <c r="E64" s="54">
        <f t="shared" si="72"/>
        <v>0</v>
      </c>
      <c r="F64" s="54">
        <v>1500</v>
      </c>
      <c r="G64" s="54">
        <f>F64</f>
        <v>1500</v>
      </c>
      <c r="H64" s="54">
        <v>3500</v>
      </c>
      <c r="I64" s="54">
        <f t="shared" ref="I64:N64" si="73">H64</f>
        <v>3500</v>
      </c>
      <c r="J64" s="54">
        <f t="shared" si="73"/>
        <v>3500</v>
      </c>
      <c r="K64" s="54">
        <f t="shared" si="73"/>
        <v>3500</v>
      </c>
      <c r="L64" s="54">
        <f t="shared" si="73"/>
        <v>3500</v>
      </c>
      <c r="M64" s="54">
        <f t="shared" si="73"/>
        <v>3500</v>
      </c>
      <c r="N64" s="54">
        <f t="shared" si="73"/>
        <v>3500</v>
      </c>
      <c r="O64" s="38">
        <f t="shared" si="60"/>
        <v>0</v>
      </c>
      <c r="P64" s="38">
        <f t="shared" si="61"/>
        <v>6500</v>
      </c>
      <c r="Q64" s="38">
        <f t="shared" si="62"/>
        <v>10500</v>
      </c>
      <c r="R64" s="38">
        <f t="shared" si="63"/>
        <v>10500</v>
      </c>
      <c r="S64" s="39">
        <f t="shared" si="64"/>
        <v>27500</v>
      </c>
    </row>
    <row r="65" spans="1:19" ht="13.5" customHeight="1">
      <c r="A65" s="70"/>
      <c r="B65" s="71" t="s">
        <v>111</v>
      </c>
      <c r="C65" s="54">
        <v>2500</v>
      </c>
      <c r="D65" s="54">
        <f t="shared" ref="D65:F65" si="74">C65</f>
        <v>2500</v>
      </c>
      <c r="E65" s="54">
        <f t="shared" si="74"/>
        <v>2500</v>
      </c>
      <c r="F65" s="54">
        <f t="shared" si="74"/>
        <v>2500</v>
      </c>
      <c r="G65" s="54">
        <v>5000</v>
      </c>
      <c r="H65" s="54">
        <f t="shared" ref="H65:N65" si="75">G65</f>
        <v>5000</v>
      </c>
      <c r="I65" s="54">
        <f t="shared" si="75"/>
        <v>5000</v>
      </c>
      <c r="J65" s="54">
        <f t="shared" si="75"/>
        <v>5000</v>
      </c>
      <c r="K65" s="54">
        <f t="shared" si="75"/>
        <v>5000</v>
      </c>
      <c r="L65" s="54">
        <f t="shared" si="75"/>
        <v>5000</v>
      </c>
      <c r="M65" s="54">
        <f t="shared" si="75"/>
        <v>5000</v>
      </c>
      <c r="N65" s="54">
        <f t="shared" si="75"/>
        <v>5000</v>
      </c>
      <c r="O65" s="38">
        <f t="shared" si="60"/>
        <v>7500</v>
      </c>
      <c r="P65" s="38">
        <f t="shared" si="61"/>
        <v>12500</v>
      </c>
      <c r="Q65" s="38">
        <f t="shared" si="62"/>
        <v>15000</v>
      </c>
      <c r="R65" s="38">
        <f t="shared" si="63"/>
        <v>15000</v>
      </c>
      <c r="S65" s="39">
        <f t="shared" si="64"/>
        <v>50000</v>
      </c>
    </row>
    <row r="66" spans="1:19" ht="13.5" customHeight="1">
      <c r="A66" s="55"/>
      <c r="B66" s="58" t="s">
        <v>112</v>
      </c>
      <c r="C66" s="59">
        <f t="shared" ref="C66:R66" si="76">SUM(C58:C65)</f>
        <v>10000</v>
      </c>
      <c r="D66" s="59">
        <f t="shared" si="76"/>
        <v>20000</v>
      </c>
      <c r="E66" s="59">
        <f t="shared" si="76"/>
        <v>20000</v>
      </c>
      <c r="F66" s="59">
        <f t="shared" si="76"/>
        <v>23500</v>
      </c>
      <c r="G66" s="59">
        <f t="shared" si="76"/>
        <v>32750</v>
      </c>
      <c r="H66" s="59">
        <f t="shared" si="76"/>
        <v>37250</v>
      </c>
      <c r="I66" s="59">
        <f t="shared" si="76"/>
        <v>37250</v>
      </c>
      <c r="J66" s="59">
        <f t="shared" si="76"/>
        <v>37250</v>
      </c>
      <c r="K66" s="59">
        <f t="shared" si="76"/>
        <v>37250</v>
      </c>
      <c r="L66" s="59">
        <f t="shared" si="76"/>
        <v>37250</v>
      </c>
      <c r="M66" s="59">
        <f t="shared" si="76"/>
        <v>37250</v>
      </c>
      <c r="N66" s="59">
        <f t="shared" si="76"/>
        <v>37250</v>
      </c>
      <c r="O66" s="60">
        <f t="shared" si="76"/>
        <v>50000</v>
      </c>
      <c r="P66" s="60">
        <f t="shared" si="76"/>
        <v>93500</v>
      </c>
      <c r="Q66" s="60">
        <f t="shared" si="76"/>
        <v>111750</v>
      </c>
      <c r="R66" s="60">
        <f t="shared" si="76"/>
        <v>111750</v>
      </c>
      <c r="S66" s="61">
        <f>SUM(S58:S65)</f>
        <v>367000</v>
      </c>
    </row>
    <row r="67" spans="1:19" ht="13.5" customHeight="1">
      <c r="A67" s="4"/>
      <c r="B67" s="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6"/>
      <c r="P67" s="46"/>
      <c r="Q67" s="46"/>
      <c r="R67" s="46"/>
      <c r="S67" s="63"/>
    </row>
    <row r="68" spans="1:19" ht="13.5" customHeight="1">
      <c r="A68" s="67" t="s">
        <v>113</v>
      </c>
      <c r="B68" s="50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2"/>
      <c r="P68" s="52"/>
      <c r="Q68" s="52"/>
      <c r="R68" s="52"/>
      <c r="S68" s="53"/>
    </row>
    <row r="69" spans="1:19" ht="13.5" customHeight="1">
      <c r="A69" s="68"/>
      <c r="B69" s="54" t="s">
        <v>114</v>
      </c>
      <c r="C69" s="54">
        <v>20000</v>
      </c>
      <c r="D69" s="54">
        <v>10000</v>
      </c>
      <c r="E69" s="54">
        <f t="shared" ref="E69:F69" si="77">D69</f>
        <v>10000</v>
      </c>
      <c r="F69" s="54">
        <f t="shared" si="77"/>
        <v>10000</v>
      </c>
      <c r="G69" s="54">
        <v>6000</v>
      </c>
      <c r="H69" s="54">
        <f t="shared" ref="H69:N69" si="78">G69</f>
        <v>6000</v>
      </c>
      <c r="I69" s="54">
        <f t="shared" si="78"/>
        <v>6000</v>
      </c>
      <c r="J69" s="54">
        <f t="shared" si="78"/>
        <v>6000</v>
      </c>
      <c r="K69" s="54">
        <f t="shared" si="78"/>
        <v>6000</v>
      </c>
      <c r="L69" s="54">
        <f t="shared" si="78"/>
        <v>6000</v>
      </c>
      <c r="M69" s="54">
        <f t="shared" si="78"/>
        <v>6000</v>
      </c>
      <c r="N69" s="54">
        <f t="shared" si="78"/>
        <v>6000</v>
      </c>
      <c r="O69" s="38">
        <f t="shared" ref="O69:O71" si="79">SUM(C69:E69)</f>
        <v>40000</v>
      </c>
      <c r="P69" s="38">
        <f t="shared" ref="P69:P71" si="80">SUM(F69:H69)</f>
        <v>22000</v>
      </c>
      <c r="Q69" s="38">
        <f t="shared" ref="Q69:Q71" si="81">SUM(I69:K69)</f>
        <v>18000</v>
      </c>
      <c r="R69" s="38">
        <f t="shared" ref="R69:R71" si="82">SUM(L69:N69)</f>
        <v>18000</v>
      </c>
      <c r="S69" s="39">
        <f t="shared" ref="S69:S72" si="83">SUM(C69:N69)</f>
        <v>98000</v>
      </c>
    </row>
    <row r="70" spans="1:19" ht="13.5" customHeight="1">
      <c r="A70" s="68"/>
      <c r="B70" s="54" t="s">
        <v>115</v>
      </c>
      <c r="C70" s="54">
        <v>1000</v>
      </c>
      <c r="D70" s="54">
        <f t="shared" ref="D70:G70" si="84">C70</f>
        <v>1000</v>
      </c>
      <c r="E70" s="54">
        <f t="shared" si="84"/>
        <v>1000</v>
      </c>
      <c r="F70" s="54">
        <f t="shared" si="84"/>
        <v>1000</v>
      </c>
      <c r="G70" s="54">
        <f t="shared" si="84"/>
        <v>1000</v>
      </c>
      <c r="H70" s="54">
        <v>2000</v>
      </c>
      <c r="I70" s="54">
        <f t="shared" ref="I70:N70" si="85">H70</f>
        <v>2000</v>
      </c>
      <c r="J70" s="54">
        <f t="shared" si="85"/>
        <v>2000</v>
      </c>
      <c r="K70" s="54">
        <f t="shared" si="85"/>
        <v>2000</v>
      </c>
      <c r="L70" s="54">
        <f t="shared" si="85"/>
        <v>2000</v>
      </c>
      <c r="M70" s="54">
        <f t="shared" si="85"/>
        <v>2000</v>
      </c>
      <c r="N70" s="54">
        <f t="shared" si="85"/>
        <v>2000</v>
      </c>
      <c r="O70" s="38">
        <f t="shared" si="79"/>
        <v>3000</v>
      </c>
      <c r="P70" s="38">
        <f t="shared" si="80"/>
        <v>4000</v>
      </c>
      <c r="Q70" s="38">
        <f t="shared" si="81"/>
        <v>6000</v>
      </c>
      <c r="R70" s="38">
        <f t="shared" si="82"/>
        <v>6000</v>
      </c>
      <c r="S70" s="39">
        <f t="shared" si="83"/>
        <v>19000</v>
      </c>
    </row>
    <row r="71" spans="1:19" ht="13.5" customHeight="1">
      <c r="A71" s="68"/>
      <c r="B71" s="71" t="s">
        <v>116</v>
      </c>
      <c r="C71" s="54">
        <v>4000</v>
      </c>
      <c r="D71" s="54">
        <f t="shared" ref="D71:E71" si="86">C71</f>
        <v>4000</v>
      </c>
      <c r="E71" s="54">
        <f t="shared" si="86"/>
        <v>4000</v>
      </c>
      <c r="F71" s="54">
        <v>4000</v>
      </c>
      <c r="G71" s="54">
        <f t="shared" ref="G71:I71" si="87">F71</f>
        <v>4000</v>
      </c>
      <c r="H71" s="54">
        <f t="shared" si="87"/>
        <v>4000</v>
      </c>
      <c r="I71" s="54">
        <f t="shared" si="87"/>
        <v>4000</v>
      </c>
      <c r="J71" s="54">
        <v>7000</v>
      </c>
      <c r="K71" s="54">
        <f t="shared" ref="K71:L71" si="88">J71</f>
        <v>7000</v>
      </c>
      <c r="L71" s="54">
        <f t="shared" si="88"/>
        <v>7000</v>
      </c>
      <c r="M71" s="54">
        <v>10000</v>
      </c>
      <c r="N71" s="54">
        <f>M71</f>
        <v>10000</v>
      </c>
      <c r="O71" s="38">
        <f t="shared" si="79"/>
        <v>12000</v>
      </c>
      <c r="P71" s="38">
        <f t="shared" si="80"/>
        <v>12000</v>
      </c>
      <c r="Q71" s="38">
        <f t="shared" si="81"/>
        <v>18000</v>
      </c>
      <c r="R71" s="38">
        <f t="shared" si="82"/>
        <v>27000</v>
      </c>
      <c r="S71" s="39">
        <f t="shared" si="83"/>
        <v>69000</v>
      </c>
    </row>
    <row r="72" spans="1:19" ht="13.5" customHeight="1">
      <c r="A72" s="40"/>
      <c r="B72" s="58" t="s">
        <v>117</v>
      </c>
      <c r="C72" s="72">
        <f t="shared" ref="C72:R72" si="89">SUM(C69:C71)</f>
        <v>25000</v>
      </c>
      <c r="D72" s="72">
        <f t="shared" si="89"/>
        <v>15000</v>
      </c>
      <c r="E72" s="72">
        <f t="shared" si="89"/>
        <v>15000</v>
      </c>
      <c r="F72" s="72">
        <f t="shared" si="89"/>
        <v>15000</v>
      </c>
      <c r="G72" s="72">
        <f t="shared" si="89"/>
        <v>11000</v>
      </c>
      <c r="H72" s="72">
        <f t="shared" si="89"/>
        <v>12000</v>
      </c>
      <c r="I72" s="72">
        <f t="shared" si="89"/>
        <v>12000</v>
      </c>
      <c r="J72" s="72">
        <f t="shared" si="89"/>
        <v>15000</v>
      </c>
      <c r="K72" s="72">
        <f t="shared" si="89"/>
        <v>15000</v>
      </c>
      <c r="L72" s="72">
        <f t="shared" si="89"/>
        <v>15000</v>
      </c>
      <c r="M72" s="72">
        <f t="shared" si="89"/>
        <v>18000</v>
      </c>
      <c r="N72" s="72">
        <f t="shared" si="89"/>
        <v>18000</v>
      </c>
      <c r="O72" s="60">
        <f t="shared" si="89"/>
        <v>55000</v>
      </c>
      <c r="P72" s="60">
        <f t="shared" si="89"/>
        <v>38000</v>
      </c>
      <c r="Q72" s="60">
        <f t="shared" si="89"/>
        <v>42000</v>
      </c>
      <c r="R72" s="60">
        <f t="shared" si="89"/>
        <v>51000</v>
      </c>
      <c r="S72" s="61">
        <f t="shared" si="83"/>
        <v>186000</v>
      </c>
    </row>
    <row r="73" spans="1:19" ht="13.5" customHeight="1">
      <c r="A73" s="40"/>
      <c r="B73" s="58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60"/>
      <c r="P73" s="60"/>
      <c r="Q73" s="60"/>
      <c r="R73" s="60"/>
      <c r="S73" s="61"/>
    </row>
    <row r="74" spans="1:19" ht="13.5" customHeight="1">
      <c r="A74" s="75"/>
      <c r="B74" s="76" t="s">
        <v>118</v>
      </c>
      <c r="C74" s="77" t="e">
        <f t="shared" ref="C74:N74" si="90">C44+C55+C66+C72</f>
        <v>#REF!</v>
      </c>
      <c r="D74" s="77" t="e">
        <f t="shared" si="90"/>
        <v>#REF!</v>
      </c>
      <c r="E74" s="77" t="e">
        <f t="shared" si="90"/>
        <v>#REF!</v>
      </c>
      <c r="F74" s="77" t="e">
        <f t="shared" si="90"/>
        <v>#REF!</v>
      </c>
      <c r="G74" s="77" t="e">
        <f t="shared" si="90"/>
        <v>#REF!</v>
      </c>
      <c r="H74" s="77" t="e">
        <f t="shared" si="90"/>
        <v>#REF!</v>
      </c>
      <c r="I74" s="77" t="e">
        <f t="shared" si="90"/>
        <v>#REF!</v>
      </c>
      <c r="J74" s="77" t="e">
        <f t="shared" si="90"/>
        <v>#REF!</v>
      </c>
      <c r="K74" s="77" t="e">
        <f t="shared" si="90"/>
        <v>#REF!</v>
      </c>
      <c r="L74" s="77" t="e">
        <f t="shared" si="90"/>
        <v>#REF!</v>
      </c>
      <c r="M74" s="77" t="e">
        <f t="shared" si="90"/>
        <v>#REF!</v>
      </c>
      <c r="N74" s="77" t="e">
        <f t="shared" si="90"/>
        <v>#REF!</v>
      </c>
      <c r="O74" s="78" t="e">
        <f>SUM(C74:E74)</f>
        <v>#REF!</v>
      </c>
      <c r="P74" s="78" t="e">
        <f>SUM(F74:H74)</f>
        <v>#REF!</v>
      </c>
      <c r="Q74" s="78" t="e">
        <f>SUM(I74:K74)</f>
        <v>#REF!</v>
      </c>
      <c r="R74" s="78" t="e">
        <f>SUM(L74:N74)</f>
        <v>#REF!</v>
      </c>
      <c r="S74" s="79" t="e">
        <f>SUM(C74:N74)</f>
        <v>#REF!</v>
      </c>
    </row>
    <row r="75" spans="1:19" ht="13.5" customHeight="1">
      <c r="A75" s="40"/>
      <c r="B75" s="58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60"/>
      <c r="P75" s="60"/>
      <c r="Q75" s="60"/>
      <c r="R75" s="60"/>
      <c r="S75" s="61"/>
    </row>
    <row r="76" spans="1:19" ht="13.5" customHeight="1">
      <c r="A76" s="80"/>
      <c r="B76" s="81" t="s">
        <v>119</v>
      </c>
      <c r="C76" s="80" t="e">
        <f t="shared" ref="C76:N76" si="91">C36-C74</f>
        <v>#REF!</v>
      </c>
      <c r="D76" s="80" t="e">
        <f t="shared" si="91"/>
        <v>#REF!</v>
      </c>
      <c r="E76" s="80" t="e">
        <f t="shared" si="91"/>
        <v>#REF!</v>
      </c>
      <c r="F76" s="80" t="e">
        <f t="shared" si="91"/>
        <v>#REF!</v>
      </c>
      <c r="G76" s="80" t="e">
        <f t="shared" si="91"/>
        <v>#REF!</v>
      </c>
      <c r="H76" s="80" t="e">
        <f t="shared" si="91"/>
        <v>#REF!</v>
      </c>
      <c r="I76" s="80" t="e">
        <f t="shared" si="91"/>
        <v>#REF!</v>
      </c>
      <c r="J76" s="80" t="e">
        <f t="shared" si="91"/>
        <v>#REF!</v>
      </c>
      <c r="K76" s="80" t="e">
        <f t="shared" si="91"/>
        <v>#REF!</v>
      </c>
      <c r="L76" s="80" t="e">
        <f t="shared" si="91"/>
        <v>#REF!</v>
      </c>
      <c r="M76" s="80" t="e">
        <f t="shared" si="91"/>
        <v>#REF!</v>
      </c>
      <c r="N76" s="80" t="e">
        <f t="shared" si="91"/>
        <v>#REF!</v>
      </c>
      <c r="O76" s="80" t="e">
        <f>SUM(C76:E76)</f>
        <v>#REF!</v>
      </c>
      <c r="P76" s="80" t="e">
        <f>SUM(F76:H76)</f>
        <v>#REF!</v>
      </c>
      <c r="Q76" s="80" t="e">
        <f>SUM(I76:K76)</f>
        <v>#REF!</v>
      </c>
      <c r="R76" s="80" t="e">
        <f>SUM(L76:N76)</f>
        <v>#REF!</v>
      </c>
      <c r="S76" s="80" t="e">
        <f>SUM(C76:N76)</f>
        <v>#REF!</v>
      </c>
    </row>
  </sheetData>
  <mergeCells count="1">
    <mergeCell ref="A1:B1"/>
  </mergeCells>
  <pageMargins left="0.25" right="0.25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R227"/>
  <sheetViews>
    <sheetView zoomScale="90" zoomScaleNormal="90" workbookViewId="0">
      <pane xSplit="2" ySplit="4" topLeftCell="N5" activePane="bottomRight" state="frozen"/>
      <selection pane="topRight" activeCell="C1" sqref="C1"/>
      <selection pane="bottomLeft" activeCell="A5" sqref="A5"/>
      <selection pane="bottomRight" activeCell="A9" sqref="A9"/>
    </sheetView>
  </sheetViews>
  <sheetFormatPr baseColWidth="10" defaultColWidth="12.5" defaultRowHeight="15" customHeight="1"/>
  <cols>
    <col min="1" max="1" width="2.1640625" customWidth="1"/>
    <col min="2" max="2" width="43.1640625" style="374" bestFit="1" customWidth="1"/>
    <col min="3" max="3" width="7.5" style="374" hidden="1" customWidth="1"/>
    <col min="4" max="4" width="11.33203125" style="374" bestFit="1" customWidth="1"/>
    <col min="5" max="5" width="13.5" style="374" bestFit="1" customWidth="1"/>
    <col min="6" max="6" width="11.33203125" style="374" bestFit="1" customWidth="1"/>
    <col min="7" max="7" width="11.5" style="374" bestFit="1" customWidth="1"/>
    <col min="8" max="8" width="11.33203125" style="374" bestFit="1" customWidth="1"/>
    <col min="9" max="9" width="12.33203125" style="374" bestFit="1" customWidth="1"/>
    <col min="10" max="10" width="11.5" style="374" bestFit="1" customWidth="1"/>
    <col min="11" max="11" width="12.1640625" style="374" bestFit="1" customWidth="1"/>
    <col min="12" max="12" width="12.33203125" style="374" bestFit="1" customWidth="1"/>
    <col min="13" max="14" width="10.1640625" style="374" bestFit="1" customWidth="1"/>
    <col min="15" max="15" width="11.1640625" style="374" bestFit="1" customWidth="1"/>
    <col min="16" max="16" width="13.5" style="374" bestFit="1" customWidth="1"/>
    <col min="17" max="23" width="12.33203125" style="374" bestFit="1" customWidth="1"/>
    <col min="24" max="24" width="12.5" style="374" bestFit="1" customWidth="1"/>
    <col min="25" max="25" width="11.5" style="374" bestFit="1" customWidth="1"/>
    <col min="26" max="27" width="12.5" style="374" bestFit="1" customWidth="1"/>
    <col min="28" max="28" width="12.33203125" style="374" bestFit="1" customWidth="1"/>
    <col min="29" max="29" width="12.5" style="374" bestFit="1" customWidth="1"/>
    <col min="30" max="30" width="11.5" style="374" bestFit="1" customWidth="1"/>
    <col min="31" max="31" width="12.5" style="374" bestFit="1" customWidth="1"/>
    <col min="32" max="32" width="11.5" style="374" bestFit="1" customWidth="1"/>
    <col min="33" max="33" width="12.5" style="374" bestFit="1" customWidth="1"/>
    <col min="34" max="36" width="11.5" style="374" bestFit="1" customWidth="1"/>
    <col min="37" max="37" width="12.5" style="374" bestFit="1" customWidth="1"/>
    <col min="38" max="38" width="11.5" style="374" bestFit="1" customWidth="1"/>
    <col min="39" max="39" width="12.5" style="374" bestFit="1" customWidth="1"/>
    <col min="40" max="40" width="11.5" style="374" bestFit="1" customWidth="1"/>
    <col min="41" max="41" width="12.5" style="374" bestFit="1" customWidth="1"/>
    <col min="42" max="42" width="13.6640625" style="374" bestFit="1" customWidth="1"/>
    <col min="43" max="43" width="11.5" style="374" bestFit="1" customWidth="1"/>
    <col min="44" max="44" width="12.5" style="374" bestFit="1" customWidth="1"/>
    <col min="45" max="45" width="11.5" style="374" bestFit="1" customWidth="1"/>
    <col min="46" max="46" width="12.5" style="374" bestFit="1" customWidth="1"/>
    <col min="47" max="47" width="11.5" style="374" bestFit="1" customWidth="1"/>
    <col min="48" max="48" width="12.5" style="374" bestFit="1" customWidth="1"/>
    <col min="49" max="49" width="11.5" style="374" bestFit="1" customWidth="1"/>
    <col min="50" max="54" width="12.5" style="374" bestFit="1" customWidth="1"/>
    <col min="55" max="55" width="13.6640625" style="374" bestFit="1" customWidth="1"/>
    <col min="56" max="67" width="12.5" style="374" bestFit="1" customWidth="1"/>
    <col min="68" max="68" width="13.6640625" style="374" bestFit="1" customWidth="1"/>
    <col min="69" max="69" width="14.1640625" style="374" bestFit="1" customWidth="1"/>
    <col min="70" max="70" width="14.33203125" bestFit="1" customWidth="1"/>
  </cols>
  <sheetData>
    <row r="1" spans="1:70" ht="13.5" customHeight="1">
      <c r="A1" s="1120" t="s">
        <v>44</v>
      </c>
      <c r="B1" s="1121"/>
      <c r="C1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9"/>
      <c r="AR1" s="329"/>
      <c r="AS1" s="329"/>
      <c r="AT1" s="329"/>
      <c r="AU1" s="329"/>
      <c r="AV1" s="329"/>
      <c r="AW1" s="329"/>
      <c r="AX1" s="329"/>
      <c r="AY1" s="329"/>
      <c r="AZ1" s="329"/>
      <c r="BA1" s="329"/>
      <c r="BB1" s="329"/>
      <c r="BC1" s="329"/>
      <c r="BD1" s="329"/>
      <c r="BE1" s="329"/>
      <c r="BF1" s="329"/>
      <c r="BG1" s="329"/>
      <c r="BH1" s="329"/>
      <c r="BI1" s="329"/>
      <c r="BJ1" s="329"/>
      <c r="BK1" s="329"/>
      <c r="BL1" s="329"/>
      <c r="BM1" s="329"/>
      <c r="BN1" s="329"/>
      <c r="BO1" s="329"/>
      <c r="BP1" s="329"/>
      <c r="BQ1" s="329"/>
      <c r="BR1" s="82"/>
    </row>
    <row r="2" spans="1:70" ht="13.5" customHeight="1">
      <c r="A2" s="26" t="s">
        <v>120</v>
      </c>
      <c r="B2" s="328"/>
      <c r="C2" s="328"/>
      <c r="D2" s="328"/>
      <c r="E2" s="328"/>
      <c r="F2" s="328"/>
      <c r="G2" s="328"/>
      <c r="H2" s="330"/>
      <c r="I2" s="328"/>
      <c r="J2" s="328"/>
      <c r="K2" s="330"/>
      <c r="L2" s="328"/>
      <c r="M2" s="328"/>
      <c r="N2" s="330"/>
      <c r="O2" s="328"/>
      <c r="P2" s="328"/>
      <c r="Q2" s="328"/>
      <c r="R2" s="328"/>
      <c r="S2" s="328"/>
      <c r="T2" s="328"/>
      <c r="U2" s="330"/>
      <c r="V2" s="328"/>
      <c r="W2" s="328"/>
      <c r="X2" s="330"/>
      <c r="Y2" s="328"/>
      <c r="Z2" s="328"/>
      <c r="AA2" s="330"/>
      <c r="AB2" s="328"/>
      <c r="AC2" s="328"/>
      <c r="AD2" s="328"/>
      <c r="AE2" s="328"/>
      <c r="AF2" s="328"/>
      <c r="AG2" s="328"/>
      <c r="AH2" s="330"/>
      <c r="AI2" s="328"/>
      <c r="AJ2" s="328"/>
      <c r="AK2" s="330"/>
      <c r="AL2" s="328"/>
      <c r="AM2" s="328"/>
      <c r="AN2" s="330"/>
      <c r="AO2" s="328"/>
      <c r="AP2" s="328"/>
      <c r="AQ2" s="329"/>
      <c r="AR2" s="329"/>
      <c r="AS2" s="329"/>
      <c r="AT2" s="329"/>
      <c r="AU2" s="330"/>
      <c r="AV2" s="329"/>
      <c r="AW2" s="329"/>
      <c r="AX2" s="330"/>
      <c r="AY2" s="329"/>
      <c r="AZ2" s="329"/>
      <c r="BA2" s="330"/>
      <c r="BB2" s="329"/>
      <c r="BC2" s="329"/>
      <c r="BD2" s="329"/>
      <c r="BE2" s="329"/>
      <c r="BF2" s="329"/>
      <c r="BG2" s="329"/>
      <c r="BH2" s="330"/>
      <c r="BI2" s="329"/>
      <c r="BJ2" s="329"/>
      <c r="BK2" s="330"/>
      <c r="BL2" s="329"/>
      <c r="BM2" s="329"/>
      <c r="BN2" s="330"/>
      <c r="BO2" s="329"/>
      <c r="BP2" s="329"/>
      <c r="BQ2" s="329"/>
      <c r="BR2" s="82"/>
    </row>
    <row r="3" spans="1:70" ht="13.5" customHeight="1">
      <c r="A3" s="4"/>
      <c r="B3" s="328"/>
      <c r="C3" s="328"/>
      <c r="D3" s="331">
        <v>46037</v>
      </c>
      <c r="E3" s="331">
        <f t="shared" ref="E3:I3" si="0">D3+30</f>
        <v>46067</v>
      </c>
      <c r="F3" s="331">
        <f>E3+31</f>
        <v>46098</v>
      </c>
      <c r="G3" s="331">
        <f t="shared" si="0"/>
        <v>46128</v>
      </c>
      <c r="H3" s="331">
        <f>G3+31</f>
        <v>46159</v>
      </c>
      <c r="I3" s="331">
        <f t="shared" si="0"/>
        <v>46189</v>
      </c>
      <c r="J3" s="331">
        <f>I3+31</f>
        <v>46220</v>
      </c>
      <c r="K3" s="331">
        <f>J3+31</f>
        <v>46251</v>
      </c>
      <c r="L3" s="331">
        <f>K3+30</f>
        <v>46281</v>
      </c>
      <c r="M3" s="331">
        <f>L3+31</f>
        <v>46312</v>
      </c>
      <c r="N3" s="331">
        <f>M3+31</f>
        <v>46343</v>
      </c>
      <c r="O3" s="331">
        <f>N3+31</f>
        <v>46374</v>
      </c>
      <c r="P3" s="328"/>
      <c r="Q3" s="331">
        <f>O3+31</f>
        <v>46405</v>
      </c>
      <c r="R3" s="331">
        <f t="shared" ref="R3" si="1">Q3+30</f>
        <v>46435</v>
      </c>
      <c r="S3" s="331">
        <f>R3+31</f>
        <v>46466</v>
      </c>
      <c r="T3" s="331">
        <f t="shared" ref="T3" si="2">S3+30</f>
        <v>46496</v>
      </c>
      <c r="U3" s="331">
        <f>T3+31</f>
        <v>46527</v>
      </c>
      <c r="V3" s="331">
        <f t="shared" ref="V3" si="3">U3+30</f>
        <v>46557</v>
      </c>
      <c r="W3" s="331">
        <f>V3+31</f>
        <v>46588</v>
      </c>
      <c r="X3" s="331">
        <f>W3+31</f>
        <v>46619</v>
      </c>
      <c r="Y3" s="331">
        <f>X3+30</f>
        <v>46649</v>
      </c>
      <c r="Z3" s="331">
        <f>Y3+31</f>
        <v>46680</v>
      </c>
      <c r="AA3" s="331">
        <f>Z3+31</f>
        <v>46711</v>
      </c>
      <c r="AB3" s="331">
        <f>AA3+31</f>
        <v>46742</v>
      </c>
      <c r="AC3" s="328"/>
      <c r="AD3" s="331">
        <f>AB3+31</f>
        <v>46773</v>
      </c>
      <c r="AE3" s="331">
        <f t="shared" ref="AE3" si="4">AD3+30</f>
        <v>46803</v>
      </c>
      <c r="AF3" s="331">
        <f>AE3+31</f>
        <v>46834</v>
      </c>
      <c r="AG3" s="331">
        <f t="shared" ref="AG3" si="5">AF3+30</f>
        <v>46864</v>
      </c>
      <c r="AH3" s="331">
        <f>AG3+31</f>
        <v>46895</v>
      </c>
      <c r="AI3" s="331">
        <f t="shared" ref="AI3" si="6">AH3+30</f>
        <v>46925</v>
      </c>
      <c r="AJ3" s="331">
        <f>AI3+31</f>
        <v>46956</v>
      </c>
      <c r="AK3" s="331">
        <f>AJ3+31</f>
        <v>46987</v>
      </c>
      <c r="AL3" s="331">
        <f>AK3+30</f>
        <v>47017</v>
      </c>
      <c r="AM3" s="331">
        <f>AL3+31</f>
        <v>47048</v>
      </c>
      <c r="AN3" s="331">
        <f>AM3+31</f>
        <v>47079</v>
      </c>
      <c r="AO3" s="331">
        <f>AN3+31</f>
        <v>47110</v>
      </c>
      <c r="AP3" s="328"/>
      <c r="AQ3" s="331">
        <f>AO3+31</f>
        <v>47141</v>
      </c>
      <c r="AR3" s="331">
        <f t="shared" ref="AR3" si="7">AQ3+30</f>
        <v>47171</v>
      </c>
      <c r="AS3" s="331">
        <f>AR3+31</f>
        <v>47202</v>
      </c>
      <c r="AT3" s="331">
        <f t="shared" ref="AT3" si="8">AS3+30</f>
        <v>47232</v>
      </c>
      <c r="AU3" s="331">
        <f>AT3+31</f>
        <v>47263</v>
      </c>
      <c r="AV3" s="331">
        <f t="shared" ref="AV3" si="9">AU3+30</f>
        <v>47293</v>
      </c>
      <c r="AW3" s="331">
        <f>AV3+31</f>
        <v>47324</v>
      </c>
      <c r="AX3" s="331">
        <f>AW3+31</f>
        <v>47355</v>
      </c>
      <c r="AY3" s="331">
        <f>AX3+30</f>
        <v>47385</v>
      </c>
      <c r="AZ3" s="331">
        <f>AY3+31</f>
        <v>47416</v>
      </c>
      <c r="BA3" s="331">
        <f>AZ3+31</f>
        <v>47447</v>
      </c>
      <c r="BB3" s="331">
        <f>BA3+31</f>
        <v>47478</v>
      </c>
      <c r="BC3" s="329"/>
      <c r="BD3" s="331">
        <f>BB3+31</f>
        <v>47509</v>
      </c>
      <c r="BE3" s="331">
        <f t="shared" ref="BE3" si="10">BD3+30</f>
        <v>47539</v>
      </c>
      <c r="BF3" s="331">
        <f>BE3+31</f>
        <v>47570</v>
      </c>
      <c r="BG3" s="331">
        <f t="shared" ref="BG3" si="11">BF3+30</f>
        <v>47600</v>
      </c>
      <c r="BH3" s="331">
        <f>BG3+31</f>
        <v>47631</v>
      </c>
      <c r="BI3" s="331">
        <f t="shared" ref="BI3" si="12">BH3+30</f>
        <v>47661</v>
      </c>
      <c r="BJ3" s="331">
        <f>BI3+31</f>
        <v>47692</v>
      </c>
      <c r="BK3" s="331">
        <f>BJ3+31</f>
        <v>47723</v>
      </c>
      <c r="BL3" s="331">
        <f>BK3+30</f>
        <v>47753</v>
      </c>
      <c r="BM3" s="331">
        <f>BL3+31</f>
        <v>47784</v>
      </c>
      <c r="BN3" s="331">
        <f>BM3+31</f>
        <v>47815</v>
      </c>
      <c r="BO3" s="331">
        <f>BN3+31</f>
        <v>47846</v>
      </c>
      <c r="BP3" s="329"/>
      <c r="BQ3" s="329"/>
      <c r="BR3" s="82"/>
    </row>
    <row r="4" spans="1:70" ht="13.5" customHeight="1">
      <c r="A4" s="28"/>
      <c r="B4" s="375"/>
      <c r="C4" s="375"/>
      <c r="D4" s="332" t="s">
        <v>49</v>
      </c>
      <c r="E4" s="332" t="s">
        <v>50</v>
      </c>
      <c r="F4" s="332" t="s">
        <v>51</v>
      </c>
      <c r="G4" s="332" t="s">
        <v>52</v>
      </c>
      <c r="H4" s="332" t="s">
        <v>53</v>
      </c>
      <c r="I4" s="332" t="s">
        <v>54</v>
      </c>
      <c r="J4" s="332" t="s">
        <v>55</v>
      </c>
      <c r="K4" s="332" t="s">
        <v>56</v>
      </c>
      <c r="L4" s="332" t="s">
        <v>57</v>
      </c>
      <c r="M4" s="332" t="s">
        <v>58</v>
      </c>
      <c r="N4" s="332" t="s">
        <v>59</v>
      </c>
      <c r="O4" s="332" t="s">
        <v>60</v>
      </c>
      <c r="P4" s="333" t="s">
        <v>65</v>
      </c>
      <c r="Q4" s="332" t="s">
        <v>291</v>
      </c>
      <c r="R4" s="332" t="s">
        <v>308</v>
      </c>
      <c r="S4" s="332" t="s">
        <v>309</v>
      </c>
      <c r="T4" s="332" t="s">
        <v>310</v>
      </c>
      <c r="U4" s="332" t="s">
        <v>311</v>
      </c>
      <c r="V4" s="332" t="s">
        <v>312</v>
      </c>
      <c r="W4" s="332" t="s">
        <v>313</v>
      </c>
      <c r="X4" s="332" t="s">
        <v>314</v>
      </c>
      <c r="Y4" s="332" t="s">
        <v>315</v>
      </c>
      <c r="Z4" s="332" t="s">
        <v>316</v>
      </c>
      <c r="AA4" s="332" t="s">
        <v>317</v>
      </c>
      <c r="AB4" s="332" t="s">
        <v>318</v>
      </c>
      <c r="AC4" s="334" t="s">
        <v>121</v>
      </c>
      <c r="AD4" s="332" t="s">
        <v>319</v>
      </c>
      <c r="AE4" s="332" t="s">
        <v>320</v>
      </c>
      <c r="AF4" s="332" t="s">
        <v>321</v>
      </c>
      <c r="AG4" s="332" t="s">
        <v>322</v>
      </c>
      <c r="AH4" s="332" t="s">
        <v>323</v>
      </c>
      <c r="AI4" s="332" t="s">
        <v>324</v>
      </c>
      <c r="AJ4" s="332" t="s">
        <v>325</v>
      </c>
      <c r="AK4" s="332" t="s">
        <v>326</v>
      </c>
      <c r="AL4" s="332" t="s">
        <v>327</v>
      </c>
      <c r="AM4" s="332" t="s">
        <v>328</v>
      </c>
      <c r="AN4" s="332" t="s">
        <v>329</v>
      </c>
      <c r="AO4" s="332" t="s">
        <v>330</v>
      </c>
      <c r="AP4" s="334" t="s">
        <v>122</v>
      </c>
      <c r="AQ4" s="335" t="s">
        <v>331</v>
      </c>
      <c r="AR4" s="335" t="s">
        <v>332</v>
      </c>
      <c r="AS4" s="335" t="s">
        <v>333</v>
      </c>
      <c r="AT4" s="335" t="s">
        <v>334</v>
      </c>
      <c r="AU4" s="335" t="s">
        <v>335</v>
      </c>
      <c r="AV4" s="335" t="s">
        <v>336</v>
      </c>
      <c r="AW4" s="335" t="s">
        <v>337</v>
      </c>
      <c r="AX4" s="335" t="s">
        <v>338</v>
      </c>
      <c r="AY4" s="335" t="s">
        <v>339</v>
      </c>
      <c r="AZ4" s="335" t="s">
        <v>340</v>
      </c>
      <c r="BA4" s="335" t="s">
        <v>341</v>
      </c>
      <c r="BB4" s="335" t="s">
        <v>342</v>
      </c>
      <c r="BC4" s="334" t="s">
        <v>123</v>
      </c>
      <c r="BD4" s="335" t="s">
        <v>343</v>
      </c>
      <c r="BE4" s="335" t="s">
        <v>344</v>
      </c>
      <c r="BF4" s="335" t="s">
        <v>345</v>
      </c>
      <c r="BG4" s="335" t="s">
        <v>346</v>
      </c>
      <c r="BH4" s="335" t="s">
        <v>347</v>
      </c>
      <c r="BI4" s="335" t="s">
        <v>348</v>
      </c>
      <c r="BJ4" s="335" t="s">
        <v>349</v>
      </c>
      <c r="BK4" s="335" t="s">
        <v>350</v>
      </c>
      <c r="BL4" s="335" t="s">
        <v>351</v>
      </c>
      <c r="BM4" s="335" t="s">
        <v>352</v>
      </c>
      <c r="BN4" s="335" t="s">
        <v>353</v>
      </c>
      <c r="BO4" s="335" t="s">
        <v>354</v>
      </c>
      <c r="BP4" s="334" t="s">
        <v>124</v>
      </c>
      <c r="BQ4" s="334" t="s">
        <v>125</v>
      </c>
      <c r="BR4" s="83"/>
    </row>
    <row r="5" spans="1:70" ht="13.5" customHeight="1">
      <c r="A5" s="32"/>
      <c r="B5" s="376" t="s">
        <v>20</v>
      </c>
      <c r="C5" s="37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7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7"/>
      <c r="AD5" s="336"/>
      <c r="AE5" s="336"/>
      <c r="AF5" s="336"/>
      <c r="AG5" s="336"/>
      <c r="AH5" s="336"/>
      <c r="AI5" s="336"/>
      <c r="AJ5" s="336"/>
      <c r="AK5" s="336"/>
      <c r="AL5" s="336"/>
      <c r="AM5" s="336"/>
      <c r="AN5" s="336"/>
      <c r="AO5" s="336"/>
      <c r="AP5" s="337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9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9"/>
      <c r="BQ5" s="339"/>
      <c r="BR5" s="82"/>
    </row>
    <row r="6" spans="1:70" ht="13.5" customHeight="1">
      <c r="A6" s="624" t="s">
        <v>775</v>
      </c>
      <c r="B6" s="621"/>
      <c r="C6" s="621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449"/>
      <c r="O6" s="449"/>
      <c r="P6" s="622"/>
      <c r="Q6" s="449"/>
      <c r="R6" s="449"/>
      <c r="S6" s="449"/>
      <c r="T6" s="449"/>
      <c r="U6" s="449"/>
      <c r="V6" s="449"/>
      <c r="W6" s="449"/>
      <c r="X6" s="449"/>
      <c r="Y6" s="449"/>
      <c r="Z6" s="449"/>
      <c r="AA6" s="449"/>
      <c r="AB6" s="449"/>
      <c r="AC6" s="622"/>
      <c r="AD6" s="449"/>
      <c r="AE6" s="449"/>
      <c r="AF6" s="449"/>
      <c r="AG6" s="449"/>
      <c r="AH6" s="449"/>
      <c r="AI6" s="449"/>
      <c r="AJ6" s="449"/>
      <c r="AK6" s="449"/>
      <c r="AL6" s="449"/>
      <c r="AM6" s="449"/>
      <c r="AN6" s="449"/>
      <c r="AO6" s="449"/>
      <c r="AP6" s="622"/>
      <c r="AQ6" s="450"/>
      <c r="AR6" s="450"/>
      <c r="AS6" s="450"/>
      <c r="AT6" s="450"/>
      <c r="AU6" s="450"/>
      <c r="AV6" s="450"/>
      <c r="AW6" s="450"/>
      <c r="AX6" s="450"/>
      <c r="AY6" s="450"/>
      <c r="AZ6" s="450"/>
      <c r="BA6" s="450"/>
      <c r="BB6" s="450"/>
      <c r="BC6" s="623"/>
      <c r="BD6" s="450"/>
      <c r="BE6" s="450"/>
      <c r="BF6" s="450"/>
      <c r="BG6" s="450"/>
      <c r="BH6" s="450"/>
      <c r="BI6" s="450"/>
      <c r="BJ6" s="450"/>
      <c r="BK6" s="450"/>
      <c r="BL6" s="450"/>
      <c r="BM6" s="450"/>
      <c r="BN6" s="450"/>
      <c r="BO6" s="450"/>
      <c r="BP6" s="341"/>
      <c r="BQ6" s="341"/>
      <c r="BR6" s="82"/>
    </row>
    <row r="7" spans="1:70" ht="13.5" customHeight="1">
      <c r="A7" s="4"/>
      <c r="B7" s="162" t="s">
        <v>778</v>
      </c>
      <c r="C7" s="391"/>
      <c r="D7" s="340">
        <f>BKFC!C98</f>
        <v>0</v>
      </c>
      <c r="E7" s="340">
        <f>BKFC!D98</f>
        <v>0</v>
      </c>
      <c r="F7" s="340">
        <f>BKFC!E98</f>
        <v>0</v>
      </c>
      <c r="G7" s="340">
        <f>BKFC!F98</f>
        <v>0</v>
      </c>
      <c r="H7" s="340">
        <f>BKFC!G98</f>
        <v>0</v>
      </c>
      <c r="I7" s="340">
        <f>BKFC!H98</f>
        <v>0</v>
      </c>
      <c r="J7" s="340">
        <f>BKFC!I98</f>
        <v>0</v>
      </c>
      <c r="K7" s="340">
        <f>BKFC!J98</f>
        <v>0</v>
      </c>
      <c r="L7" s="340">
        <f>BKFC!K98</f>
        <v>0</v>
      </c>
      <c r="M7" s="340">
        <f>BKFC!L98</f>
        <v>0</v>
      </c>
      <c r="N7" s="340">
        <f>BKFC!M98</f>
        <v>0</v>
      </c>
      <c r="O7" s="340">
        <f>BKFC!N98</f>
        <v>1479311.5</v>
      </c>
      <c r="P7" s="341">
        <f t="shared" ref="P7:P20" si="13">SUM(D7:O7)</f>
        <v>1479311.5</v>
      </c>
      <c r="Q7" s="340">
        <f>BKFC!P98</f>
        <v>1479311.5</v>
      </c>
      <c r="R7" s="340">
        <f>BKFC!Q98</f>
        <v>4583236.5250000004</v>
      </c>
      <c r="S7" s="340">
        <f>BKFC!R98</f>
        <v>4583236.5250000004</v>
      </c>
      <c r="T7" s="340">
        <f>BKFC!S98</f>
        <v>284995.25</v>
      </c>
      <c r="U7" s="340">
        <f>BKFC!T98</f>
        <v>284995.25</v>
      </c>
      <c r="V7" s="340">
        <f>BKFC!U98</f>
        <v>0</v>
      </c>
      <c r="W7" s="340">
        <f>BKFC!V98</f>
        <v>1931912.875</v>
      </c>
      <c r="X7" s="340">
        <f>BKFC!W98</f>
        <v>1931912.875</v>
      </c>
      <c r="Y7" s="340">
        <f>BKFC!X98</f>
        <v>0</v>
      </c>
      <c r="Z7" s="340">
        <f>BKFC!Y98</f>
        <v>6293091.6500000004</v>
      </c>
      <c r="AA7" s="340">
        <f>BKFC!Z98</f>
        <v>6293091.6500000004</v>
      </c>
      <c r="AB7" s="340">
        <f>BKFC!AA98</f>
        <v>0</v>
      </c>
      <c r="AC7" s="341">
        <f t="shared" ref="AC7:AC21" si="14">SUM(Q7:AB7)</f>
        <v>27665784.100000001</v>
      </c>
      <c r="AD7" s="340">
        <f>BKFC!AC98</f>
        <v>284995.25</v>
      </c>
      <c r="AE7" s="340">
        <f>BKFC!AD98</f>
        <v>284995.25</v>
      </c>
      <c r="AF7" s="340">
        <f>BKFC!AE98</f>
        <v>0</v>
      </c>
      <c r="AG7" s="340">
        <f>BKFC!AF98</f>
        <v>0</v>
      </c>
      <c r="AH7" s="340">
        <f>BKFC!AG98</f>
        <v>0</v>
      </c>
      <c r="AI7" s="340">
        <f>BKFC!AH98</f>
        <v>0</v>
      </c>
      <c r="AJ7" s="340">
        <f>BKFC!AI98</f>
        <v>5703149.25</v>
      </c>
      <c r="AK7" s="340">
        <f>BKFC!AJ98</f>
        <v>0</v>
      </c>
      <c r="AL7" s="340">
        <f>BKFC!AK98</f>
        <v>0</v>
      </c>
      <c r="AM7" s="340">
        <f>BKFC!AL98</f>
        <v>17449513.550000001</v>
      </c>
      <c r="AN7" s="340">
        <f>BKFC!AM98</f>
        <v>0</v>
      </c>
      <c r="AO7" s="340">
        <f>BKFC!AN98</f>
        <v>0</v>
      </c>
      <c r="AP7" s="341">
        <f t="shared" ref="AP7:AP21" si="15">SUM(AD7:AO7)</f>
        <v>23722653.300000001</v>
      </c>
      <c r="AQ7" s="340">
        <f>BKFC!AP98</f>
        <v>797986.7</v>
      </c>
      <c r="AR7" s="340">
        <f>BKFC!AQ98</f>
        <v>0</v>
      </c>
      <c r="AS7" s="340">
        <f>BKFC!AR98</f>
        <v>0</v>
      </c>
      <c r="AT7" s="340">
        <f>BKFC!AS98</f>
        <v>0</v>
      </c>
      <c r="AU7" s="340">
        <f>BKFC!AT98</f>
        <v>0</v>
      </c>
      <c r="AV7" s="340">
        <f>BKFC!AU98</f>
        <v>0</v>
      </c>
      <c r="AW7" s="340">
        <f>BKFC!AV98</f>
        <v>6959790.25</v>
      </c>
      <c r="AX7" s="340">
        <f>BKFC!AW98</f>
        <v>0</v>
      </c>
      <c r="AY7" s="340">
        <f>BKFC!AX98</f>
        <v>0</v>
      </c>
      <c r="AZ7" s="340">
        <f>BKFC!AY98</f>
        <v>20517567.050000001</v>
      </c>
      <c r="BA7" s="340">
        <f>BKFC!AZ98</f>
        <v>0</v>
      </c>
      <c r="BB7" s="340">
        <f>BKFC!BA98</f>
        <v>0</v>
      </c>
      <c r="BC7" s="341">
        <f t="shared" ref="BC7:BC20" si="16">SUM(AQ7:BB7)</f>
        <v>28275344</v>
      </c>
      <c r="BD7" s="340">
        <f>BKFC!BC98</f>
        <v>1139981</v>
      </c>
      <c r="BE7" s="340">
        <f>BKFC!BD98</f>
        <v>0</v>
      </c>
      <c r="BF7" s="340">
        <f>BKFC!BE98</f>
        <v>0</v>
      </c>
      <c r="BG7" s="340">
        <f>BKFC!BF98</f>
        <v>0</v>
      </c>
      <c r="BH7" s="340">
        <f>BKFC!BG98</f>
        <v>0</v>
      </c>
      <c r="BI7" s="340">
        <f>BKFC!BH98</f>
        <v>0</v>
      </c>
      <c r="BJ7" s="340">
        <f>BKFC!BI98</f>
        <v>8216431.25</v>
      </c>
      <c r="BK7" s="340">
        <f>BKFC!BJ98</f>
        <v>0</v>
      </c>
      <c r="BL7" s="340">
        <f>BKFC!BK98</f>
        <v>0</v>
      </c>
      <c r="BM7" s="340">
        <f>BKFC!BL98</f>
        <v>25295554.050000001</v>
      </c>
      <c r="BN7" s="340">
        <f>BKFC!BM98</f>
        <v>0</v>
      </c>
      <c r="BO7" s="340">
        <f>BKFC!BN98</f>
        <v>1424976.25</v>
      </c>
      <c r="BP7" s="341">
        <f t="shared" ref="BP7:BP20" si="17">SUM(BD7:BO7)</f>
        <v>36076942.549999997</v>
      </c>
      <c r="BQ7" s="341">
        <f t="shared" ref="BQ7:BQ20" si="18">P7+AC7+AP7+BC7+BP7</f>
        <v>117220035.45</v>
      </c>
      <c r="BR7" s="54"/>
    </row>
    <row r="8" spans="1:70" ht="13.5" customHeight="1">
      <c r="A8" s="6" t="s">
        <v>1159</v>
      </c>
      <c r="B8" s="162"/>
      <c r="C8" s="391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86"/>
      <c r="Q8" s="340"/>
      <c r="R8" s="340"/>
      <c r="S8" s="340"/>
      <c r="T8" s="340"/>
      <c r="U8" s="340"/>
      <c r="V8" s="340"/>
      <c r="W8" s="340"/>
      <c r="X8" s="340"/>
      <c r="Y8" s="340"/>
      <c r="Z8" s="340"/>
      <c r="AA8" s="340"/>
      <c r="AB8" s="340"/>
      <c r="AC8" s="386"/>
      <c r="AD8" s="340"/>
      <c r="AE8" s="340"/>
      <c r="AF8" s="340"/>
      <c r="AG8" s="340"/>
      <c r="AH8" s="340"/>
      <c r="AI8" s="340"/>
      <c r="AJ8" s="340"/>
      <c r="AK8" s="340"/>
      <c r="AL8" s="340"/>
      <c r="AM8" s="340"/>
      <c r="AN8" s="340"/>
      <c r="AO8" s="340"/>
      <c r="AP8" s="386"/>
      <c r="AQ8" s="340"/>
      <c r="AR8" s="340"/>
      <c r="AS8" s="340"/>
      <c r="AT8" s="340"/>
      <c r="AU8" s="340"/>
      <c r="AV8" s="340"/>
      <c r="AW8" s="340"/>
      <c r="AX8" s="340"/>
      <c r="AY8" s="340"/>
      <c r="AZ8" s="340"/>
      <c r="BA8" s="340"/>
      <c r="BB8" s="340"/>
      <c r="BC8" s="386"/>
      <c r="BD8" s="340"/>
      <c r="BE8" s="340"/>
      <c r="BF8" s="340"/>
      <c r="BG8" s="340"/>
      <c r="BH8" s="340"/>
      <c r="BI8" s="340"/>
      <c r="BJ8" s="340"/>
      <c r="BK8" s="340"/>
      <c r="BL8" s="340"/>
      <c r="BM8" s="340"/>
      <c r="BN8" s="340"/>
      <c r="BO8" s="340"/>
      <c r="BP8" s="341"/>
      <c r="BQ8" s="341"/>
      <c r="BR8" s="54"/>
    </row>
    <row r="9" spans="1:70" ht="13.5" customHeight="1">
      <c r="A9" s="4"/>
      <c r="B9" s="162" t="s">
        <v>1028</v>
      </c>
      <c r="C9" s="391"/>
      <c r="D9" s="340">
        <f>Ted!C98</f>
        <v>0</v>
      </c>
      <c r="E9" s="340">
        <f>Ted!D98</f>
        <v>0</v>
      </c>
      <c r="F9" s="340">
        <f>Ted!E98</f>
        <v>0</v>
      </c>
      <c r="G9" s="340">
        <f>Ted!F98</f>
        <v>0</v>
      </c>
      <c r="H9" s="340">
        <f>Ted!G98</f>
        <v>0</v>
      </c>
      <c r="I9" s="340">
        <f>Ted!H98</f>
        <v>0</v>
      </c>
      <c r="J9" s="340">
        <f>Ted!I98</f>
        <v>0</v>
      </c>
      <c r="K9" s="340">
        <f>Ted!J98</f>
        <v>0</v>
      </c>
      <c r="L9" s="340">
        <f>Ted!K98</f>
        <v>0</v>
      </c>
      <c r="M9" s="340">
        <f>Ted!L98</f>
        <v>0</v>
      </c>
      <c r="N9" s="340">
        <f>Ted!M98</f>
        <v>0</v>
      </c>
      <c r="O9" s="340">
        <f>Ted!N98</f>
        <v>0</v>
      </c>
      <c r="P9" s="341">
        <f t="shared" si="13"/>
        <v>0</v>
      </c>
      <c r="Q9" s="340">
        <f>Ted!P98</f>
        <v>0</v>
      </c>
      <c r="R9" s="340">
        <f>Ted!Q98</f>
        <v>0</v>
      </c>
      <c r="S9" s="340">
        <f>Ted!R98</f>
        <v>0</v>
      </c>
      <c r="T9" s="340">
        <f>Ted!S98</f>
        <v>0</v>
      </c>
      <c r="U9" s="340">
        <f>Ted!T98</f>
        <v>0</v>
      </c>
      <c r="V9" s="340">
        <f>Ted!U98</f>
        <v>0</v>
      </c>
      <c r="W9" s="340">
        <f>Ted!V98</f>
        <v>2258473</v>
      </c>
      <c r="X9" s="340">
        <f>Ted!W98</f>
        <v>0</v>
      </c>
      <c r="Y9" s="340">
        <f>Ted!X98</f>
        <v>0</v>
      </c>
      <c r="Z9" s="340">
        <f>Ted!Y98</f>
        <v>0</v>
      </c>
      <c r="AA9" s="340">
        <f>Ted!Z98</f>
        <v>0</v>
      </c>
      <c r="AB9" s="340">
        <f>Ted!AA98</f>
        <v>0</v>
      </c>
      <c r="AC9" s="341">
        <f t="shared" si="14"/>
        <v>2258473</v>
      </c>
      <c r="AD9" s="340">
        <f>Ted!AC98</f>
        <v>0</v>
      </c>
      <c r="AE9" s="340">
        <f>Ted!AD98</f>
        <v>0</v>
      </c>
      <c r="AF9" s="340">
        <f>Ted!AE98</f>
        <v>0</v>
      </c>
      <c r="AG9" s="340">
        <f>Ted!AF98</f>
        <v>0</v>
      </c>
      <c r="AH9" s="340">
        <f>Ted!AG98</f>
        <v>0</v>
      </c>
      <c r="AI9" s="340">
        <f>Ted!AH98</f>
        <v>0</v>
      </c>
      <c r="AJ9" s="340">
        <f>Ted!AI98</f>
        <v>3239286.25</v>
      </c>
      <c r="AK9" s="340">
        <f>Ted!AJ98</f>
        <v>0</v>
      </c>
      <c r="AL9" s="340">
        <f>Ted!AK98</f>
        <v>0</v>
      </c>
      <c r="AM9" s="340">
        <f>Ted!AL98</f>
        <v>0</v>
      </c>
      <c r="AN9" s="340">
        <f>Ted!AM98</f>
        <v>0</v>
      </c>
      <c r="AO9" s="340">
        <f>Ted!AN98</f>
        <v>0</v>
      </c>
      <c r="AP9" s="341">
        <f t="shared" si="15"/>
        <v>3239286.25</v>
      </c>
      <c r="AQ9" s="340">
        <f>Ted!AP98</f>
        <v>0</v>
      </c>
      <c r="AR9" s="340">
        <f>Ted!AQ98</f>
        <v>0</v>
      </c>
      <c r="AS9" s="340">
        <f>Ted!AR98</f>
        <v>0</v>
      </c>
      <c r="AT9" s="340">
        <f>Ted!AS98</f>
        <v>0</v>
      </c>
      <c r="AU9" s="340">
        <f>Ted!AT98</f>
        <v>0</v>
      </c>
      <c r="AV9" s="340">
        <f>Ted!AU98</f>
        <v>0</v>
      </c>
      <c r="AW9" s="340">
        <f>Ted!AV98</f>
        <v>4220099.5</v>
      </c>
      <c r="AX9" s="340">
        <f>Ted!AW98</f>
        <v>0</v>
      </c>
      <c r="AY9" s="340">
        <f>Ted!AX98</f>
        <v>0</v>
      </c>
      <c r="AZ9" s="340">
        <f>Ted!AY98</f>
        <v>0</v>
      </c>
      <c r="BA9" s="340">
        <f>Ted!AZ98</f>
        <v>0</v>
      </c>
      <c r="BB9" s="340">
        <f>Ted!BA98</f>
        <v>0</v>
      </c>
      <c r="BC9" s="341">
        <f t="shared" si="16"/>
        <v>4220099.5</v>
      </c>
      <c r="BD9" s="340">
        <f>Ted!BC98</f>
        <v>0</v>
      </c>
      <c r="BE9" s="340">
        <f>Ted!BD98</f>
        <v>0</v>
      </c>
      <c r="BF9" s="340">
        <f>Ted!BE98</f>
        <v>0</v>
      </c>
      <c r="BG9" s="340">
        <f>Ted!BF98</f>
        <v>0</v>
      </c>
      <c r="BH9" s="340">
        <f>Ted!BG98</f>
        <v>0</v>
      </c>
      <c r="BI9" s="340">
        <f>Ted!BH98</f>
        <v>0</v>
      </c>
      <c r="BJ9" s="340">
        <f>Ted!BI98</f>
        <v>5200912.75</v>
      </c>
      <c r="BK9" s="340">
        <f>Ted!BJ98</f>
        <v>0</v>
      </c>
      <c r="BL9" s="340">
        <f>Ted!BK98</f>
        <v>0</v>
      </c>
      <c r="BM9" s="340">
        <f>Ted!BL98</f>
        <v>0</v>
      </c>
      <c r="BN9" s="340">
        <f>Ted!BM98</f>
        <v>0</v>
      </c>
      <c r="BO9" s="340">
        <f>Ted!BN98</f>
        <v>0</v>
      </c>
      <c r="BP9" s="341">
        <f t="shared" ref="BP9:BP12" si="19">SUM(BD9:BO9)</f>
        <v>5200912.75</v>
      </c>
      <c r="BQ9" s="341">
        <f t="shared" ref="BQ9:BQ12" si="20">P9+AC9+AP9+BC9+BP9</f>
        <v>14918771.5</v>
      </c>
      <c r="BR9" s="54"/>
    </row>
    <row r="10" spans="1:70" ht="13.5" customHeight="1">
      <c r="A10" s="4"/>
      <c r="B10" s="162" t="s">
        <v>1029</v>
      </c>
      <c r="C10" s="391"/>
      <c r="D10" s="340">
        <f>CareBears!C98</f>
        <v>0</v>
      </c>
      <c r="E10" s="340">
        <f>CareBears!D98</f>
        <v>0</v>
      </c>
      <c r="F10" s="340">
        <f>CareBears!E98</f>
        <v>0</v>
      </c>
      <c r="G10" s="340">
        <f>CareBears!F98</f>
        <v>0</v>
      </c>
      <c r="H10" s="340">
        <f>CareBears!G98</f>
        <v>0</v>
      </c>
      <c r="I10" s="340">
        <f>CareBears!H98</f>
        <v>0</v>
      </c>
      <c r="J10" s="340">
        <f>CareBears!I98</f>
        <v>0</v>
      </c>
      <c r="K10" s="340">
        <f>CareBears!J98</f>
        <v>0</v>
      </c>
      <c r="L10" s="340">
        <f>CareBears!K98</f>
        <v>0</v>
      </c>
      <c r="M10" s="340">
        <f>CareBears!L98</f>
        <v>0</v>
      </c>
      <c r="N10" s="340">
        <f>CareBears!M98</f>
        <v>0</v>
      </c>
      <c r="O10" s="340">
        <f>CareBears!N98</f>
        <v>0</v>
      </c>
      <c r="P10" s="341">
        <f t="shared" si="13"/>
        <v>0</v>
      </c>
      <c r="Q10" s="340">
        <f>CareBears!P98</f>
        <v>0</v>
      </c>
      <c r="R10" s="340">
        <f>CareBears!Q98</f>
        <v>0</v>
      </c>
      <c r="S10" s="340">
        <f>CareBears!R98</f>
        <v>0</v>
      </c>
      <c r="T10" s="340">
        <f>CareBears!S98</f>
        <v>845253</v>
      </c>
      <c r="U10" s="340">
        <f>CareBears!T98</f>
        <v>0</v>
      </c>
      <c r="V10" s="340">
        <f>CareBears!U98</f>
        <v>0</v>
      </c>
      <c r="W10" s="340">
        <f>CareBears!V98</f>
        <v>0</v>
      </c>
      <c r="X10" s="340">
        <f>CareBears!W98</f>
        <v>0</v>
      </c>
      <c r="Y10" s="340">
        <f>CareBears!X98</f>
        <v>0</v>
      </c>
      <c r="Z10" s="340">
        <f>CareBears!Y98</f>
        <v>1951846.25</v>
      </c>
      <c r="AA10" s="340">
        <f>CareBears!Z98</f>
        <v>0</v>
      </c>
      <c r="AB10" s="340">
        <f>CareBears!AA98</f>
        <v>0</v>
      </c>
      <c r="AC10" s="341">
        <f t="shared" si="14"/>
        <v>2797099.25</v>
      </c>
      <c r="AD10" s="340">
        <f>CareBears!AC98</f>
        <v>0</v>
      </c>
      <c r="AE10" s="340">
        <f>CareBears!AD98</f>
        <v>0</v>
      </c>
      <c r="AF10" s="340">
        <f>CareBears!AE98</f>
        <v>0</v>
      </c>
      <c r="AG10" s="340">
        <f>CareBears!AF98</f>
        <v>999235.65</v>
      </c>
      <c r="AH10" s="340">
        <f>CareBears!AG98</f>
        <v>0</v>
      </c>
      <c r="AI10" s="340">
        <f>CareBears!AH98</f>
        <v>0</v>
      </c>
      <c r="AJ10" s="340">
        <f>CareBears!AI98</f>
        <v>0</v>
      </c>
      <c r="AK10" s="340">
        <f>CareBears!AJ98</f>
        <v>0</v>
      </c>
      <c r="AL10" s="340">
        <f>CareBears!AK98</f>
        <v>0</v>
      </c>
      <c r="AM10" s="340">
        <f>CareBears!AL98</f>
        <v>999235.65</v>
      </c>
      <c r="AN10" s="340">
        <f>CareBears!AM98</f>
        <v>0</v>
      </c>
      <c r="AO10" s="340">
        <f>CareBears!AN98</f>
        <v>0</v>
      </c>
      <c r="AP10" s="341">
        <f t="shared" si="15"/>
        <v>1998471.3</v>
      </c>
      <c r="AQ10" s="340">
        <f>CareBears!AP98</f>
        <v>0</v>
      </c>
      <c r="AR10" s="340">
        <f>CareBears!AQ98</f>
        <v>0</v>
      </c>
      <c r="AS10" s="340">
        <f>CareBears!AR98</f>
        <v>0</v>
      </c>
      <c r="AT10" s="340">
        <f>CareBears!AS98</f>
        <v>1046818.3</v>
      </c>
      <c r="AU10" s="340">
        <f>CareBears!AT98</f>
        <v>0</v>
      </c>
      <c r="AV10" s="340">
        <f>CareBears!AU98</f>
        <v>0</v>
      </c>
      <c r="AW10" s="340">
        <f>CareBears!AV98</f>
        <v>0</v>
      </c>
      <c r="AX10" s="340">
        <f>CareBears!AW98</f>
        <v>0</v>
      </c>
      <c r="AY10" s="340">
        <f>CareBears!AX98</f>
        <v>0</v>
      </c>
      <c r="AZ10" s="340">
        <f>CareBears!AY98</f>
        <v>1046818.3</v>
      </c>
      <c r="BA10" s="340">
        <f>CareBears!AZ98</f>
        <v>0</v>
      </c>
      <c r="BB10" s="340">
        <f>CareBears!BA98</f>
        <v>0</v>
      </c>
      <c r="BC10" s="341">
        <f t="shared" si="16"/>
        <v>2093636.6</v>
      </c>
      <c r="BD10" s="340">
        <f>CareBears!BC98</f>
        <v>0</v>
      </c>
      <c r="BE10" s="340">
        <f>CareBears!BD98</f>
        <v>0</v>
      </c>
      <c r="BF10" s="340">
        <f>CareBears!BE98</f>
        <v>0</v>
      </c>
      <c r="BG10" s="340">
        <f>CareBears!BF98</f>
        <v>0</v>
      </c>
      <c r="BH10" s="340">
        <f>CareBears!BG98</f>
        <v>0</v>
      </c>
      <c r="BI10" s="340">
        <f>CareBears!BH98</f>
        <v>0</v>
      </c>
      <c r="BJ10" s="340">
        <f>CareBears!BI98</f>
        <v>0</v>
      </c>
      <c r="BK10" s="340">
        <f>CareBears!BJ98</f>
        <v>0</v>
      </c>
      <c r="BL10" s="340">
        <f>CareBears!BK98</f>
        <v>0</v>
      </c>
      <c r="BM10" s="340">
        <f>CareBears!BL98</f>
        <v>0</v>
      </c>
      <c r="BN10" s="340">
        <f>CareBears!BM98</f>
        <v>0</v>
      </c>
      <c r="BO10" s="340">
        <f>CareBears!BN98</f>
        <v>0</v>
      </c>
      <c r="BP10" s="341">
        <f t="shared" si="19"/>
        <v>0</v>
      </c>
      <c r="BQ10" s="341">
        <f t="shared" si="20"/>
        <v>6889207.1500000004</v>
      </c>
      <c r="BR10" s="54"/>
    </row>
    <row r="11" spans="1:70" ht="13.5" customHeight="1">
      <c r="A11" s="4"/>
      <c r="B11" s="162" t="s">
        <v>1047</v>
      </c>
      <c r="C11" s="391"/>
      <c r="D11" s="340">
        <f>Blumhouse!C98</f>
        <v>0</v>
      </c>
      <c r="E11" s="340">
        <f>Blumhouse!D98</f>
        <v>0</v>
      </c>
      <c r="F11" s="340">
        <f>Blumhouse!E98</f>
        <v>0</v>
      </c>
      <c r="G11" s="340">
        <f>Blumhouse!F98</f>
        <v>0</v>
      </c>
      <c r="H11" s="340">
        <f>Blumhouse!G98</f>
        <v>0</v>
      </c>
      <c r="I11" s="340">
        <f>Blumhouse!H98</f>
        <v>0</v>
      </c>
      <c r="J11" s="340">
        <f>Blumhouse!I98</f>
        <v>0</v>
      </c>
      <c r="K11" s="340">
        <f>Blumhouse!J98</f>
        <v>0</v>
      </c>
      <c r="L11" s="340">
        <f>Blumhouse!K98</f>
        <v>0</v>
      </c>
      <c r="M11" s="340">
        <f>Blumhouse!L98</f>
        <v>0</v>
      </c>
      <c r="N11" s="340">
        <f>Blumhouse!M98</f>
        <v>0</v>
      </c>
      <c r="O11" s="340">
        <f>Blumhouse!N98</f>
        <v>0</v>
      </c>
      <c r="P11" s="341">
        <f t="shared" si="13"/>
        <v>0</v>
      </c>
      <c r="Q11" s="340">
        <f>Blumhouse!P98</f>
        <v>0</v>
      </c>
      <c r="R11" s="340">
        <f>Blumhouse!Q98</f>
        <v>0</v>
      </c>
      <c r="S11" s="340">
        <f>Blumhouse!R98</f>
        <v>0</v>
      </c>
      <c r="T11" s="340">
        <f>Blumhouse!S98</f>
        <v>0</v>
      </c>
      <c r="U11" s="340">
        <f>Blumhouse!T98</f>
        <v>0</v>
      </c>
      <c r="V11" s="340">
        <f>Blumhouse!U98</f>
        <v>0</v>
      </c>
      <c r="W11" s="340">
        <f>Blumhouse!V98</f>
        <v>1382041</v>
      </c>
      <c r="X11" s="340">
        <f>Blumhouse!W98</f>
        <v>0</v>
      </c>
      <c r="Y11" s="340">
        <f>Blumhouse!X98</f>
        <v>0</v>
      </c>
      <c r="Z11" s="340">
        <f>Blumhouse!Y98</f>
        <v>0</v>
      </c>
      <c r="AA11" s="340">
        <f>Blumhouse!Z98</f>
        <v>0</v>
      </c>
      <c r="AB11" s="340">
        <f>Blumhouse!AA98</f>
        <v>0</v>
      </c>
      <c r="AC11" s="341">
        <f t="shared" si="14"/>
        <v>1382041</v>
      </c>
      <c r="AD11" s="340">
        <f>Blumhouse!AC98</f>
        <v>0</v>
      </c>
      <c r="AE11" s="340">
        <f>Blumhouse!AD98</f>
        <v>0</v>
      </c>
      <c r="AF11" s="340">
        <f>Blumhouse!AE98</f>
        <v>0</v>
      </c>
      <c r="AG11" s="340">
        <f>Blumhouse!AF98</f>
        <v>0</v>
      </c>
      <c r="AH11" s="340">
        <f>Blumhouse!AG98</f>
        <v>0</v>
      </c>
      <c r="AI11" s="340">
        <f>Blumhouse!AH98</f>
        <v>0</v>
      </c>
      <c r="AJ11" s="340">
        <f>Blumhouse!AI98</f>
        <v>1058151.8</v>
      </c>
      <c r="AK11" s="340">
        <f>Blumhouse!AJ98</f>
        <v>0</v>
      </c>
      <c r="AL11" s="340">
        <f>Blumhouse!AK98</f>
        <v>0</v>
      </c>
      <c r="AM11" s="340">
        <f>Blumhouse!AL98</f>
        <v>0</v>
      </c>
      <c r="AN11" s="340">
        <f>Blumhouse!AM98</f>
        <v>0</v>
      </c>
      <c r="AO11" s="340">
        <f>Blumhouse!AN98</f>
        <v>0</v>
      </c>
      <c r="AP11" s="341">
        <f t="shared" si="15"/>
        <v>1058151.8</v>
      </c>
      <c r="AQ11" s="340">
        <f>Blumhouse!AP98</f>
        <v>0</v>
      </c>
      <c r="AR11" s="340">
        <f>Blumhouse!AQ98</f>
        <v>0</v>
      </c>
      <c r="AS11" s="340">
        <f>Blumhouse!AR98</f>
        <v>0</v>
      </c>
      <c r="AT11" s="340">
        <f>Blumhouse!AS98</f>
        <v>0</v>
      </c>
      <c r="AU11" s="340">
        <f>Blumhouse!AT98</f>
        <v>0</v>
      </c>
      <c r="AV11" s="340">
        <f>Blumhouse!AU98</f>
        <v>0</v>
      </c>
      <c r="AW11" s="340">
        <f>Blumhouse!AV98</f>
        <v>1058151.8</v>
      </c>
      <c r="AX11" s="340">
        <f>Blumhouse!AW98</f>
        <v>0</v>
      </c>
      <c r="AY11" s="340">
        <f>Blumhouse!AX98</f>
        <v>0</v>
      </c>
      <c r="AZ11" s="340">
        <f>Blumhouse!AY98</f>
        <v>0</v>
      </c>
      <c r="BA11" s="340">
        <f>Blumhouse!AZ98</f>
        <v>0</v>
      </c>
      <c r="BB11" s="340">
        <f>Blumhouse!BA98</f>
        <v>0</v>
      </c>
      <c r="BC11" s="341">
        <f t="shared" si="16"/>
        <v>1058151.8</v>
      </c>
      <c r="BD11" s="340">
        <f>Blumhouse!BC98</f>
        <v>0</v>
      </c>
      <c r="BE11" s="340">
        <f>Blumhouse!BD98</f>
        <v>0</v>
      </c>
      <c r="BF11" s="340">
        <f>Blumhouse!BE98</f>
        <v>0</v>
      </c>
      <c r="BG11" s="340">
        <f>Blumhouse!BF98</f>
        <v>0</v>
      </c>
      <c r="BH11" s="340">
        <f>Blumhouse!BG98</f>
        <v>0</v>
      </c>
      <c r="BI11" s="340">
        <f>Blumhouse!BH98</f>
        <v>0</v>
      </c>
      <c r="BJ11" s="340">
        <f>Blumhouse!BI98</f>
        <v>1058151.8</v>
      </c>
      <c r="BK11" s="340">
        <f>Blumhouse!BJ98</f>
        <v>0</v>
      </c>
      <c r="BL11" s="340">
        <f>Blumhouse!BK98</f>
        <v>0</v>
      </c>
      <c r="BM11" s="340">
        <f>Blumhouse!BL98</f>
        <v>0</v>
      </c>
      <c r="BN11" s="340">
        <f>Blumhouse!BM98</f>
        <v>0</v>
      </c>
      <c r="BO11" s="340">
        <f>Blumhouse!BN98</f>
        <v>0</v>
      </c>
      <c r="BP11" s="341">
        <f t="shared" si="19"/>
        <v>1058151.8</v>
      </c>
      <c r="BQ11" s="341">
        <f t="shared" si="20"/>
        <v>4556496.3999999994</v>
      </c>
      <c r="BR11" s="54"/>
    </row>
    <row r="12" spans="1:70" ht="13.5" customHeight="1">
      <c r="A12" s="4"/>
      <c r="B12" s="162" t="s">
        <v>1051</v>
      </c>
      <c r="C12" s="1053"/>
      <c r="D12" s="340">
        <f>Tatsunoko!C98</f>
        <v>0</v>
      </c>
      <c r="E12" s="340">
        <f>Tatsunoko!D98</f>
        <v>0</v>
      </c>
      <c r="F12" s="340">
        <f>Tatsunoko!E98</f>
        <v>0</v>
      </c>
      <c r="G12" s="340">
        <f>Tatsunoko!F98</f>
        <v>0</v>
      </c>
      <c r="H12" s="340">
        <f>Tatsunoko!G98</f>
        <v>0</v>
      </c>
      <c r="I12" s="340">
        <f>Tatsunoko!H98</f>
        <v>0</v>
      </c>
      <c r="J12" s="340">
        <f>Tatsunoko!I98</f>
        <v>0</v>
      </c>
      <c r="K12" s="340">
        <f>Tatsunoko!J98</f>
        <v>0</v>
      </c>
      <c r="L12" s="340">
        <f>Tatsunoko!K98</f>
        <v>0</v>
      </c>
      <c r="M12" s="340">
        <f>Tatsunoko!L98</f>
        <v>0</v>
      </c>
      <c r="N12" s="340">
        <f>Tatsunoko!M98</f>
        <v>0</v>
      </c>
      <c r="O12" s="340">
        <f>Tatsunoko!N98</f>
        <v>0</v>
      </c>
      <c r="P12" s="341">
        <f t="shared" si="13"/>
        <v>0</v>
      </c>
      <c r="Q12" s="340">
        <f>Tatsunoko!P98</f>
        <v>0</v>
      </c>
      <c r="R12" s="340">
        <f>Tatsunoko!Q98</f>
        <v>0</v>
      </c>
      <c r="S12" s="340">
        <f>Tatsunoko!R98</f>
        <v>0</v>
      </c>
      <c r="T12" s="340">
        <f>Tatsunoko!S98</f>
        <v>0</v>
      </c>
      <c r="U12" s="340">
        <f>Tatsunoko!T98</f>
        <v>0</v>
      </c>
      <c r="V12" s="340">
        <f>Tatsunoko!U98</f>
        <v>0</v>
      </c>
      <c r="W12" s="340">
        <f>Tatsunoko!V98</f>
        <v>1587227.7</v>
      </c>
      <c r="X12" s="340">
        <f>Tatsunoko!W98</f>
        <v>0</v>
      </c>
      <c r="Y12" s="340">
        <f>Tatsunoko!X98</f>
        <v>0</v>
      </c>
      <c r="Z12" s="340">
        <f>Tatsunoko!Y98</f>
        <v>0</v>
      </c>
      <c r="AA12" s="340">
        <f>Tatsunoko!Z98</f>
        <v>0</v>
      </c>
      <c r="AB12" s="340">
        <f>Tatsunoko!AA98</f>
        <v>0</v>
      </c>
      <c r="AC12" s="341">
        <f t="shared" si="14"/>
        <v>1587227.7</v>
      </c>
      <c r="AD12" s="340">
        <f>Tatsunoko!AC98</f>
        <v>0</v>
      </c>
      <c r="AE12" s="340">
        <f>Tatsunoko!AD98</f>
        <v>0</v>
      </c>
      <c r="AF12" s="340">
        <f>Tatsunoko!AE98</f>
        <v>0</v>
      </c>
      <c r="AG12" s="340">
        <f>Tatsunoko!AF98</f>
        <v>0</v>
      </c>
      <c r="AH12" s="340">
        <f>Tatsunoko!AG98</f>
        <v>0</v>
      </c>
      <c r="AI12" s="340">
        <f>Tatsunoko!AH98</f>
        <v>0</v>
      </c>
      <c r="AJ12" s="340">
        <f>Tatsunoko!AI98</f>
        <v>1058151.8</v>
      </c>
      <c r="AK12" s="340">
        <f>Tatsunoko!AJ98</f>
        <v>0</v>
      </c>
      <c r="AL12" s="340">
        <f>Tatsunoko!AK98</f>
        <v>0</v>
      </c>
      <c r="AM12" s="340">
        <f>Tatsunoko!AL98</f>
        <v>0</v>
      </c>
      <c r="AN12" s="340">
        <f>Tatsunoko!AM98</f>
        <v>0</v>
      </c>
      <c r="AO12" s="340">
        <f>Tatsunoko!AN98</f>
        <v>0</v>
      </c>
      <c r="AP12" s="341">
        <f t="shared" si="15"/>
        <v>1058151.8</v>
      </c>
      <c r="AQ12" s="340">
        <f>Tatsunoko!AP98</f>
        <v>0</v>
      </c>
      <c r="AR12" s="340">
        <f>Tatsunoko!AQ98</f>
        <v>0</v>
      </c>
      <c r="AS12" s="340">
        <f>Tatsunoko!AR98</f>
        <v>0</v>
      </c>
      <c r="AT12" s="340">
        <f>Tatsunoko!AS98</f>
        <v>0</v>
      </c>
      <c r="AU12" s="340">
        <f>Tatsunoko!AT98</f>
        <v>0</v>
      </c>
      <c r="AV12" s="340">
        <f>Tatsunoko!AU98</f>
        <v>0</v>
      </c>
      <c r="AW12" s="340">
        <f>Tatsunoko!AV98</f>
        <v>1058151.8</v>
      </c>
      <c r="AX12" s="340">
        <f>Tatsunoko!AW98</f>
        <v>0</v>
      </c>
      <c r="AY12" s="340">
        <f>Tatsunoko!AX98</f>
        <v>0</v>
      </c>
      <c r="AZ12" s="340">
        <f>Tatsunoko!AY98</f>
        <v>0</v>
      </c>
      <c r="BA12" s="340">
        <f>Tatsunoko!AZ98</f>
        <v>0</v>
      </c>
      <c r="BB12" s="340">
        <f>Tatsunoko!BA98</f>
        <v>0</v>
      </c>
      <c r="BC12" s="341">
        <f t="shared" si="16"/>
        <v>1058151.8</v>
      </c>
      <c r="BD12" s="340">
        <f>Tatsunoko!BC98</f>
        <v>0</v>
      </c>
      <c r="BE12" s="340">
        <f>Tatsunoko!BD98</f>
        <v>0</v>
      </c>
      <c r="BF12" s="340">
        <f>Tatsunoko!BE98</f>
        <v>0</v>
      </c>
      <c r="BG12" s="340">
        <f>Tatsunoko!BF98</f>
        <v>0</v>
      </c>
      <c r="BH12" s="340">
        <f>Tatsunoko!BG98</f>
        <v>0</v>
      </c>
      <c r="BI12" s="340">
        <f>Tatsunoko!BH98</f>
        <v>0</v>
      </c>
      <c r="BJ12" s="340">
        <f>Tatsunoko!BI98</f>
        <v>1058151.8</v>
      </c>
      <c r="BK12" s="340">
        <f>Tatsunoko!BJ98</f>
        <v>0</v>
      </c>
      <c r="BL12" s="340">
        <f>Tatsunoko!BK98</f>
        <v>0</v>
      </c>
      <c r="BM12" s="340">
        <f>Tatsunoko!BL98</f>
        <v>0</v>
      </c>
      <c r="BN12" s="340">
        <f>Tatsunoko!BM98</f>
        <v>0</v>
      </c>
      <c r="BO12" s="340">
        <f>Tatsunoko!BN98</f>
        <v>0</v>
      </c>
      <c r="BP12" s="341">
        <f t="shared" si="19"/>
        <v>1058151.8</v>
      </c>
      <c r="BQ12" s="341">
        <f t="shared" si="20"/>
        <v>4761683.0999999996</v>
      </c>
      <c r="BR12" s="54"/>
    </row>
    <row r="13" spans="1:70" ht="13.5" customHeight="1">
      <c r="A13" s="4"/>
      <c r="B13" s="162" t="s">
        <v>1069</v>
      </c>
      <c r="C13" s="1053"/>
      <c r="D13" s="340">
        <f>'PPA MLP'!C98</f>
        <v>0</v>
      </c>
      <c r="E13" s="340">
        <f>'PPA MLP'!D98</f>
        <v>0</v>
      </c>
      <c r="F13" s="340">
        <f>'PPA MLP'!E98</f>
        <v>0</v>
      </c>
      <c r="G13" s="340">
        <f>'PPA MLP'!F98</f>
        <v>0</v>
      </c>
      <c r="H13" s="340">
        <f>'PPA MLP'!G98</f>
        <v>0</v>
      </c>
      <c r="I13" s="340">
        <f>'PPA MLP'!H98</f>
        <v>0</v>
      </c>
      <c r="J13" s="340">
        <f>'PPA MLP'!I98</f>
        <v>0</v>
      </c>
      <c r="K13" s="340">
        <f>'PPA MLP'!J98</f>
        <v>0</v>
      </c>
      <c r="L13" s="340">
        <f>'PPA MLP'!K98</f>
        <v>0</v>
      </c>
      <c r="M13" s="340">
        <f>'PPA MLP'!L98</f>
        <v>0</v>
      </c>
      <c r="N13" s="340">
        <f>'PPA MLP'!M98</f>
        <v>0</v>
      </c>
      <c r="O13" s="340">
        <f>'PPA MLP'!N98</f>
        <v>0</v>
      </c>
      <c r="P13" s="341">
        <f t="shared" ref="P13" si="21">SUM(D13:O13)</f>
        <v>0</v>
      </c>
      <c r="Q13" s="340">
        <f>'PPA MLP'!P98</f>
        <v>0</v>
      </c>
      <c r="R13" s="340">
        <f>'PPA MLP'!Q98</f>
        <v>0</v>
      </c>
      <c r="S13" s="340">
        <f>'PPA MLP'!R98</f>
        <v>0</v>
      </c>
      <c r="T13" s="340">
        <f>'PPA MLP'!S98</f>
        <v>0</v>
      </c>
      <c r="U13" s="340">
        <f>'PPA MLP'!T98</f>
        <v>0</v>
      </c>
      <c r="V13" s="340">
        <f>'PPA MLP'!U98</f>
        <v>0</v>
      </c>
      <c r="W13" s="340">
        <f>'PPA MLP'!V98</f>
        <v>551567.80999999994</v>
      </c>
      <c r="X13" s="340">
        <f>'PPA MLP'!W98</f>
        <v>0</v>
      </c>
      <c r="Y13" s="340">
        <f>'PPA MLP'!X98</f>
        <v>0</v>
      </c>
      <c r="Z13" s="340">
        <f>'PPA MLP'!Y98</f>
        <v>0</v>
      </c>
      <c r="AA13" s="340">
        <f>'PPA MLP'!Z98</f>
        <v>475413.72</v>
      </c>
      <c r="AB13" s="340">
        <f>'PPA MLP'!AA98</f>
        <v>0</v>
      </c>
      <c r="AC13" s="341">
        <f t="shared" ref="AC13" si="22">SUM(Q13:AB13)</f>
        <v>1026981.5299999999</v>
      </c>
      <c r="AD13" s="340">
        <f>'PPA MLP'!AC98</f>
        <v>0</v>
      </c>
      <c r="AE13" s="340">
        <f>'PPA MLP'!AD98</f>
        <v>0</v>
      </c>
      <c r="AF13" s="340">
        <f>'PPA MLP'!AE98</f>
        <v>0</v>
      </c>
      <c r="AG13" s="340">
        <f>'PPA MLP'!AF98</f>
        <v>0</v>
      </c>
      <c r="AH13" s="340">
        <f>'PPA MLP'!AG98</f>
        <v>0</v>
      </c>
      <c r="AI13" s="340">
        <f>'PPA MLP'!AH98</f>
        <v>0</v>
      </c>
      <c r="AJ13" s="340">
        <f>'PPA MLP'!AI98</f>
        <v>772194.94000000006</v>
      </c>
      <c r="AK13" s="340">
        <f>'PPA MLP'!AJ98</f>
        <v>0</v>
      </c>
      <c r="AL13" s="340">
        <f>'PPA MLP'!AK98</f>
        <v>0</v>
      </c>
      <c r="AM13" s="340">
        <f>'PPA MLP'!AL98</f>
        <v>0</v>
      </c>
      <c r="AN13" s="340">
        <f>'PPA MLP'!AM98</f>
        <v>665579.21</v>
      </c>
      <c r="AO13" s="340">
        <f>'PPA MLP'!AN98</f>
        <v>0</v>
      </c>
      <c r="AP13" s="341">
        <f t="shared" ref="AP13" si="23">SUM(AD13:AO13)</f>
        <v>1437774.15</v>
      </c>
      <c r="AQ13" s="340">
        <f>'PPA MLP'!AP98</f>
        <v>0</v>
      </c>
      <c r="AR13" s="340">
        <f>'PPA MLP'!AQ98</f>
        <v>0</v>
      </c>
      <c r="AS13" s="340">
        <f>'PPA MLP'!AR98</f>
        <v>0</v>
      </c>
      <c r="AT13" s="340">
        <f>'PPA MLP'!AS98</f>
        <v>0</v>
      </c>
      <c r="AU13" s="340">
        <f>'PPA MLP'!AT98</f>
        <v>0</v>
      </c>
      <c r="AV13" s="340">
        <f>'PPA MLP'!AU98</f>
        <v>0</v>
      </c>
      <c r="AW13" s="340">
        <f>'PPA MLP'!AV98</f>
        <v>1042626.5000000001</v>
      </c>
      <c r="AX13" s="340">
        <f>'PPA MLP'!AW98</f>
        <v>0</v>
      </c>
      <c r="AY13" s="340">
        <f>'PPA MLP'!AX98</f>
        <v>0</v>
      </c>
      <c r="AZ13" s="340">
        <f>'PPA MLP'!AY98</f>
        <v>0</v>
      </c>
      <c r="BA13" s="340">
        <f>'PPA MLP'!AZ98</f>
        <v>899163.61</v>
      </c>
      <c r="BB13" s="340">
        <f>'PPA MLP'!BA98</f>
        <v>0</v>
      </c>
      <c r="BC13" s="341">
        <f t="shared" ref="BC13" si="24">SUM(AQ13:BB13)</f>
        <v>1941790.11</v>
      </c>
      <c r="BD13" s="340">
        <f>'PPA MLP'!BC98</f>
        <v>0</v>
      </c>
      <c r="BE13" s="340">
        <f>'PPA MLP'!BD98</f>
        <v>0</v>
      </c>
      <c r="BF13" s="340">
        <f>'PPA MLP'!BE98</f>
        <v>0</v>
      </c>
      <c r="BG13" s="340">
        <f>'PPA MLP'!BF98</f>
        <v>0</v>
      </c>
      <c r="BH13" s="340">
        <f>'PPA MLP'!BG98</f>
        <v>0</v>
      </c>
      <c r="BI13" s="340">
        <f>'PPA MLP'!BH98</f>
        <v>0</v>
      </c>
      <c r="BJ13" s="340">
        <f>'PPA MLP'!BI98</f>
        <v>1354881.45</v>
      </c>
      <c r="BK13" s="340">
        <f>'PPA MLP'!BJ98</f>
        <v>0</v>
      </c>
      <c r="BL13" s="340">
        <f>'PPA MLP'!BK98</f>
        <v>0</v>
      </c>
      <c r="BM13" s="340">
        <f>'PPA MLP'!BL98</f>
        <v>0</v>
      </c>
      <c r="BN13" s="340">
        <f>'PPA MLP'!BM98</f>
        <v>1169327.8099999998</v>
      </c>
      <c r="BO13" s="340">
        <f>'PPA MLP'!BN98</f>
        <v>142497.62</v>
      </c>
      <c r="BP13" s="341">
        <f t="shared" ref="BP13" si="25">SUM(BD13:BO13)</f>
        <v>2666706.88</v>
      </c>
      <c r="BQ13" s="341">
        <f t="shared" ref="BQ13" si="26">P13+AC13+AP13+BC13+BP13</f>
        <v>7073252.6699999999</v>
      </c>
      <c r="BR13" s="54"/>
    </row>
    <row r="14" spans="1:70" ht="13.5" customHeight="1">
      <c r="A14" s="6" t="s">
        <v>776</v>
      </c>
      <c r="B14" s="377"/>
      <c r="C14" s="391"/>
      <c r="D14" s="340"/>
      <c r="E14" s="340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86"/>
      <c r="Q14" s="340"/>
      <c r="R14" s="340"/>
      <c r="S14" s="340"/>
      <c r="T14" s="340"/>
      <c r="U14" s="340"/>
      <c r="V14" s="340"/>
      <c r="W14" s="340"/>
      <c r="X14" s="340"/>
      <c r="Y14" s="340"/>
      <c r="Z14" s="340"/>
      <c r="AA14" s="340"/>
      <c r="AB14" s="340"/>
      <c r="AC14" s="386"/>
      <c r="AD14" s="340"/>
      <c r="AE14" s="340"/>
      <c r="AF14" s="340"/>
      <c r="AG14" s="340"/>
      <c r="AH14" s="340"/>
      <c r="AI14" s="340"/>
      <c r="AJ14" s="340"/>
      <c r="AK14" s="340"/>
      <c r="AL14" s="340"/>
      <c r="AM14" s="340"/>
      <c r="AN14" s="340"/>
      <c r="AO14" s="340"/>
      <c r="AP14" s="386"/>
      <c r="AQ14" s="340"/>
      <c r="AR14" s="340"/>
      <c r="AS14" s="340"/>
      <c r="AT14" s="340"/>
      <c r="AU14" s="340"/>
      <c r="AV14" s="340"/>
      <c r="AW14" s="340"/>
      <c r="AX14" s="340"/>
      <c r="AY14" s="340"/>
      <c r="AZ14" s="340"/>
      <c r="BA14" s="340"/>
      <c r="BB14" s="340"/>
      <c r="BC14" s="386"/>
      <c r="BD14" s="340"/>
      <c r="BE14" s="340"/>
      <c r="BF14" s="340"/>
      <c r="BG14" s="340"/>
      <c r="BH14" s="340"/>
      <c r="BI14" s="340"/>
      <c r="BJ14" s="340"/>
      <c r="BK14" s="340"/>
      <c r="BL14" s="340"/>
      <c r="BM14" s="340"/>
      <c r="BN14" s="340"/>
      <c r="BO14" s="340"/>
      <c r="BP14" s="386"/>
      <c r="BQ14" s="386"/>
      <c r="BR14" s="54"/>
    </row>
    <row r="15" spans="1:70" ht="13.5" customHeight="1">
      <c r="A15" s="4"/>
      <c r="B15" s="162" t="s">
        <v>777</v>
      </c>
      <c r="C15" s="391"/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340">
        <v>0</v>
      </c>
      <c r="K15" s="340">
        <v>0</v>
      </c>
      <c r="L15" s="340">
        <v>0</v>
      </c>
      <c r="M15" s="340">
        <v>0</v>
      </c>
      <c r="N15" s="340">
        <v>0</v>
      </c>
      <c r="O15" s="340">
        <v>0</v>
      </c>
      <c r="P15" s="341">
        <f t="shared" si="13"/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0">
        <f>'Pipeline (Projected)'!$I$27/12</f>
        <v>22916.666666666672</v>
      </c>
      <c r="W15" s="340">
        <f>'Pipeline (Projected)'!$I$27/12</f>
        <v>22916.666666666672</v>
      </c>
      <c r="X15" s="340">
        <f>'Pipeline (Projected)'!$I$27/12</f>
        <v>22916.666666666672</v>
      </c>
      <c r="Y15" s="340">
        <f>'Pipeline (Projected)'!$I$27/12</f>
        <v>22916.666666666672</v>
      </c>
      <c r="Z15" s="340">
        <f>'Pipeline (Projected)'!$I$27/12</f>
        <v>22916.666666666672</v>
      </c>
      <c r="AA15" s="340">
        <f>'Pipeline (Projected)'!$I$27/12</f>
        <v>22916.666666666672</v>
      </c>
      <c r="AB15" s="340">
        <f>'Pipeline (Projected)'!$I$27/12</f>
        <v>22916.666666666672</v>
      </c>
      <c r="AC15" s="341">
        <f t="shared" si="14"/>
        <v>160416.66666666669</v>
      </c>
      <c r="AD15" s="340">
        <f>'Pipeline (Projected)'!$I$28/12</f>
        <v>1145833.3333333333</v>
      </c>
      <c r="AE15" s="340">
        <f>'Pipeline (Projected)'!$I$28/12</f>
        <v>1145833.3333333333</v>
      </c>
      <c r="AF15" s="340">
        <f>'Pipeline (Projected)'!$I$28/12</f>
        <v>1145833.3333333333</v>
      </c>
      <c r="AG15" s="340">
        <f>'Pipeline (Projected)'!$I$28/12</f>
        <v>1145833.3333333333</v>
      </c>
      <c r="AH15" s="340">
        <f>'Pipeline (Projected)'!$I$28/12</f>
        <v>1145833.3333333333</v>
      </c>
      <c r="AI15" s="340">
        <f>'Pipeline (Projected)'!$I$28/12</f>
        <v>1145833.3333333333</v>
      </c>
      <c r="AJ15" s="340">
        <f>'Pipeline (Projected)'!$I$28/12</f>
        <v>1145833.3333333333</v>
      </c>
      <c r="AK15" s="340">
        <f>'Pipeline (Projected)'!$I$28/12</f>
        <v>1145833.3333333333</v>
      </c>
      <c r="AL15" s="340">
        <f>'Pipeline (Projected)'!$I$28/12</f>
        <v>1145833.3333333333</v>
      </c>
      <c r="AM15" s="340">
        <f>'Pipeline (Projected)'!$I$28/12</f>
        <v>1145833.3333333333</v>
      </c>
      <c r="AN15" s="340">
        <f>'Pipeline (Projected)'!$I$28/12</f>
        <v>1145833.3333333333</v>
      </c>
      <c r="AO15" s="340">
        <f>'Pipeline (Projected)'!$I$28/12</f>
        <v>1145833.3333333333</v>
      </c>
      <c r="AP15" s="341">
        <f t="shared" si="15"/>
        <v>13750000.000000002</v>
      </c>
      <c r="AQ15" s="340">
        <f>'Pipeline (Projected)'!$I$29/12</f>
        <v>3300000</v>
      </c>
      <c r="AR15" s="340">
        <f>'Pipeline (Projected)'!$I$29/12</f>
        <v>3300000</v>
      </c>
      <c r="AS15" s="340">
        <f>'Pipeline (Projected)'!$I$29/12</f>
        <v>3300000</v>
      </c>
      <c r="AT15" s="340">
        <f>'Pipeline (Projected)'!$I$29/12</f>
        <v>3300000</v>
      </c>
      <c r="AU15" s="340">
        <f>'Pipeline (Projected)'!$I$29/12</f>
        <v>3300000</v>
      </c>
      <c r="AV15" s="340">
        <f>'Pipeline (Projected)'!$I$29/12</f>
        <v>3300000</v>
      </c>
      <c r="AW15" s="340">
        <f>'Pipeline (Projected)'!$I$29/12</f>
        <v>3300000</v>
      </c>
      <c r="AX15" s="340">
        <f>'Pipeline (Projected)'!$I$29/12</f>
        <v>3300000</v>
      </c>
      <c r="AY15" s="340">
        <f>'Pipeline (Projected)'!$I$29/12</f>
        <v>3300000</v>
      </c>
      <c r="AZ15" s="340">
        <f>'Pipeline (Projected)'!$I$29/12</f>
        <v>3300000</v>
      </c>
      <c r="BA15" s="340">
        <f>'Pipeline (Projected)'!$I$29/12</f>
        <v>3300000</v>
      </c>
      <c r="BB15" s="340">
        <f>'Pipeline (Projected)'!$I$29/12</f>
        <v>3300000</v>
      </c>
      <c r="BC15" s="341">
        <f t="shared" si="16"/>
        <v>39600000</v>
      </c>
      <c r="BD15" s="340">
        <f>'Pipeline (Projected)'!$I$30/12</f>
        <v>5454166.666666667</v>
      </c>
      <c r="BE15" s="340">
        <f>'Pipeline (Projected)'!$I$30/12</f>
        <v>5454166.666666667</v>
      </c>
      <c r="BF15" s="340">
        <f>'Pipeline (Projected)'!$I$30/12</f>
        <v>5454166.666666667</v>
      </c>
      <c r="BG15" s="340">
        <f>'Pipeline (Projected)'!$I$30/12</f>
        <v>5454166.666666667</v>
      </c>
      <c r="BH15" s="340">
        <f>'Pipeline (Projected)'!$I$30/12</f>
        <v>5454166.666666667</v>
      </c>
      <c r="BI15" s="340">
        <f>'Pipeline (Projected)'!$I$30/12</f>
        <v>5454166.666666667</v>
      </c>
      <c r="BJ15" s="340">
        <f>'Pipeline (Projected)'!$I$31/12</f>
        <v>7608333.333333333</v>
      </c>
      <c r="BK15" s="340">
        <f>'Pipeline (Projected)'!$I$31/12</f>
        <v>7608333.333333333</v>
      </c>
      <c r="BL15" s="340">
        <f>'Pipeline (Projected)'!$I$31/12</f>
        <v>7608333.333333333</v>
      </c>
      <c r="BM15" s="340">
        <f>'Pipeline (Projected)'!$I$31/12</f>
        <v>7608333.333333333</v>
      </c>
      <c r="BN15" s="340">
        <f>'Pipeline (Projected)'!$I$31/12</f>
        <v>7608333.333333333</v>
      </c>
      <c r="BO15" s="340">
        <f>'Pipeline (Projected)'!$I$31/12</f>
        <v>7608333.333333333</v>
      </c>
      <c r="BP15" s="341">
        <f t="shared" ref="BP15" si="27">SUM(BD15:BO15)</f>
        <v>78375000</v>
      </c>
      <c r="BQ15" s="341">
        <f t="shared" ref="BQ15:BQ19" si="28">P15+AC15+AP15+BC15+BP15</f>
        <v>131885416.66666667</v>
      </c>
      <c r="BR15" s="54"/>
    </row>
    <row r="16" spans="1:70" ht="13.5" customHeight="1">
      <c r="A16" s="6" t="s">
        <v>1154</v>
      </c>
      <c r="B16" s="162"/>
      <c r="C16" s="391"/>
      <c r="D16" s="340"/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340"/>
      <c r="P16" s="386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1"/>
      <c r="AD16" s="340"/>
      <c r="AE16" s="340"/>
      <c r="AF16" s="340"/>
      <c r="AG16" s="340"/>
      <c r="AH16" s="340"/>
      <c r="AI16" s="340"/>
      <c r="AJ16" s="340"/>
      <c r="AK16" s="340"/>
      <c r="AL16" s="340"/>
      <c r="AM16" s="340"/>
      <c r="AN16" s="340"/>
      <c r="AO16" s="340"/>
      <c r="AP16" s="341"/>
      <c r="AQ16" s="340"/>
      <c r="AR16" s="340"/>
      <c r="AS16" s="340"/>
      <c r="AT16" s="340"/>
      <c r="AU16" s="340"/>
      <c r="AV16" s="340"/>
      <c r="AW16" s="340"/>
      <c r="AX16" s="340"/>
      <c r="AY16" s="340"/>
      <c r="AZ16" s="340"/>
      <c r="BA16" s="340"/>
      <c r="BB16" s="340"/>
      <c r="BC16" s="341"/>
      <c r="BD16" s="340"/>
      <c r="BE16" s="340"/>
      <c r="BF16" s="340"/>
      <c r="BG16" s="340"/>
      <c r="BH16" s="340"/>
      <c r="BI16" s="340"/>
      <c r="BJ16" s="340"/>
      <c r="BK16" s="340"/>
      <c r="BL16" s="340"/>
      <c r="BM16" s="340"/>
      <c r="BN16" s="340"/>
      <c r="BO16" s="340"/>
      <c r="BP16" s="341"/>
      <c r="BQ16" s="341"/>
      <c r="BR16" s="54"/>
    </row>
    <row r="17" spans="1:70" ht="13.5" customHeight="1">
      <c r="A17" s="4"/>
      <c r="B17" s="162" t="s">
        <v>1155</v>
      </c>
      <c r="C17" s="391"/>
      <c r="D17" s="340">
        <v>0</v>
      </c>
      <c r="E17" s="340">
        <v>0</v>
      </c>
      <c r="F17" s="340">
        <v>0</v>
      </c>
      <c r="G17" s="340">
        <v>0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0</v>
      </c>
      <c r="N17" s="340">
        <v>0</v>
      </c>
      <c r="O17" s="340">
        <v>0</v>
      </c>
      <c r="P17" s="341">
        <f t="shared" ref="P17:P19" si="29">SUM(D17:O17)</f>
        <v>0</v>
      </c>
      <c r="Q17" s="340">
        <v>0</v>
      </c>
      <c r="R17" s="340">
        <v>0</v>
      </c>
      <c r="S17" s="340">
        <v>0</v>
      </c>
      <c r="T17" s="340">
        <f>Frequency!$H$14/12</f>
        <v>188921.25</v>
      </c>
      <c r="U17" s="340">
        <f>Frequency!$H$14/12</f>
        <v>188921.25</v>
      </c>
      <c r="V17" s="340">
        <f>Frequency!$H$14/12</f>
        <v>188921.25</v>
      </c>
      <c r="W17" s="340">
        <f>Frequency!$H$14/12</f>
        <v>188921.25</v>
      </c>
      <c r="X17" s="340">
        <f>Frequency!$H$14/12</f>
        <v>188921.25</v>
      </c>
      <c r="Y17" s="340">
        <f>Frequency!$H$14/12</f>
        <v>188921.25</v>
      </c>
      <c r="Z17" s="340">
        <f>Frequency!$H$14/12</f>
        <v>188921.25</v>
      </c>
      <c r="AA17" s="340">
        <f>Frequency!$H$14/12</f>
        <v>188921.25</v>
      </c>
      <c r="AB17" s="340">
        <f>Frequency!$H$14/12</f>
        <v>188921.25</v>
      </c>
      <c r="AC17" s="341">
        <f t="shared" ref="AC17" si="30">SUM(Q17:AB17)</f>
        <v>1700291.25</v>
      </c>
      <c r="AD17" s="340">
        <f>Frequency!$H$14/12</f>
        <v>188921.25</v>
      </c>
      <c r="AE17" s="340">
        <f>Frequency!$H$14/12</f>
        <v>188921.25</v>
      </c>
      <c r="AF17" s="340">
        <f>Frequency!$H$14/12</f>
        <v>188921.25</v>
      </c>
      <c r="AG17" s="340">
        <f>Frequency!$H$24/12</f>
        <v>453411</v>
      </c>
      <c r="AH17" s="340">
        <f>Frequency!$H$24/12</f>
        <v>453411</v>
      </c>
      <c r="AI17" s="340">
        <f>Frequency!$H$24/12</f>
        <v>453411</v>
      </c>
      <c r="AJ17" s="340">
        <f>Frequency!$H$24/12</f>
        <v>453411</v>
      </c>
      <c r="AK17" s="340">
        <f>Frequency!$H$24/12</f>
        <v>453411</v>
      </c>
      <c r="AL17" s="340">
        <f>Frequency!$H$24/12</f>
        <v>453411</v>
      </c>
      <c r="AM17" s="340">
        <f>Frequency!$H$24/12</f>
        <v>453411</v>
      </c>
      <c r="AN17" s="340">
        <f>Frequency!$H$24/12</f>
        <v>453411</v>
      </c>
      <c r="AO17" s="340">
        <f>Frequency!$H$24/12</f>
        <v>453411</v>
      </c>
      <c r="AP17" s="341">
        <f t="shared" ref="AP17" si="31">SUM(AD17:AO17)</f>
        <v>4647462.75</v>
      </c>
      <c r="AQ17" s="340">
        <f>Frequency!$H$24/12</f>
        <v>453411</v>
      </c>
      <c r="AR17" s="340">
        <f>Frequency!$H$24/12</f>
        <v>453411</v>
      </c>
      <c r="AS17" s="340">
        <f>Frequency!$H$24/12</f>
        <v>453411</v>
      </c>
      <c r="AT17" s="340">
        <f>Frequency!$H$34/12</f>
        <v>816139.80000000016</v>
      </c>
      <c r="AU17" s="340">
        <f>Frequency!$H$34/12</f>
        <v>816139.80000000016</v>
      </c>
      <c r="AV17" s="340">
        <f>Frequency!$H$34/12</f>
        <v>816139.80000000016</v>
      </c>
      <c r="AW17" s="340">
        <f>Frequency!$H$34/12</f>
        <v>816139.80000000016</v>
      </c>
      <c r="AX17" s="340">
        <f>Frequency!$H$34/12</f>
        <v>816139.80000000016</v>
      </c>
      <c r="AY17" s="340">
        <f>Frequency!$H$34/12</f>
        <v>816139.80000000016</v>
      </c>
      <c r="AZ17" s="340">
        <f>Frequency!$H$34/12</f>
        <v>816139.80000000016</v>
      </c>
      <c r="BA17" s="340">
        <f>Frequency!$H$34/12</f>
        <v>816139.80000000016</v>
      </c>
      <c r="BB17" s="340">
        <f>Frequency!$H$34/12</f>
        <v>816139.80000000016</v>
      </c>
      <c r="BC17" s="341">
        <f t="shared" ref="BC17" si="32">SUM(AQ17:BB17)</f>
        <v>8705491.2000000011</v>
      </c>
      <c r="BD17" s="340">
        <f>Frequency!$H$34/12</f>
        <v>816139.80000000016</v>
      </c>
      <c r="BE17" s="340">
        <f>Frequency!$H$34/12</f>
        <v>816139.80000000016</v>
      </c>
      <c r="BF17" s="340">
        <f>Frequency!$H$34/12</f>
        <v>816139.80000000016</v>
      </c>
      <c r="BG17" s="340">
        <f>Frequency!$H$34/12</f>
        <v>816139.80000000016</v>
      </c>
      <c r="BH17" s="340">
        <f>Frequency!$H$34/12</f>
        <v>816139.80000000016</v>
      </c>
      <c r="BI17" s="340">
        <f>Frequency!$H$34/12</f>
        <v>816139.80000000016</v>
      </c>
      <c r="BJ17" s="340">
        <f>Frequency!$H$34/12</f>
        <v>816139.80000000016</v>
      </c>
      <c r="BK17" s="340">
        <f>Frequency!$H$34/12</f>
        <v>816139.80000000016</v>
      </c>
      <c r="BL17" s="340">
        <f>Frequency!$H$34/12</f>
        <v>816139.80000000016</v>
      </c>
      <c r="BM17" s="340">
        <f>Frequency!$H$34/12</f>
        <v>816139.80000000016</v>
      </c>
      <c r="BN17" s="340">
        <f>Frequency!$H$34/12</f>
        <v>816139.80000000016</v>
      </c>
      <c r="BO17" s="340">
        <f>Frequency!$H$34/12</f>
        <v>816139.80000000016</v>
      </c>
      <c r="BP17" s="341">
        <f t="shared" ref="BP17" si="33">SUM(BD17:BO17)</f>
        <v>9793677.6000000015</v>
      </c>
      <c r="BQ17" s="341">
        <f t="shared" ref="BQ17" si="34">P17+AC17+AP17+BC17+BP17</f>
        <v>24846922.800000004</v>
      </c>
      <c r="BR17" s="54"/>
    </row>
    <row r="18" spans="1:70" ht="13.5" customHeight="1">
      <c r="A18" s="6" t="s">
        <v>779</v>
      </c>
      <c r="B18" s="162"/>
      <c r="C18" s="391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86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386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86"/>
      <c r="AQ18" s="340"/>
      <c r="AR18" s="340"/>
      <c r="AS18" s="340"/>
      <c r="AT18" s="340"/>
      <c r="AU18" s="340"/>
      <c r="AV18" s="340"/>
      <c r="AW18" s="340"/>
      <c r="AX18" s="340"/>
      <c r="AY18" s="340"/>
      <c r="AZ18" s="340"/>
      <c r="BA18" s="340"/>
      <c r="BB18" s="340"/>
      <c r="BC18" s="386"/>
      <c r="BD18" s="340"/>
      <c r="BE18" s="340"/>
      <c r="BF18" s="340"/>
      <c r="BG18" s="340"/>
      <c r="BH18" s="340"/>
      <c r="BI18" s="340"/>
      <c r="BJ18" s="340"/>
      <c r="BK18" s="340"/>
      <c r="BL18" s="340"/>
      <c r="BM18" s="340"/>
      <c r="BN18" s="340"/>
      <c r="BO18" s="340"/>
      <c r="BP18" s="386"/>
      <c r="BQ18" s="386"/>
      <c r="BR18" s="54"/>
    </row>
    <row r="19" spans="1:70" ht="13.5" customHeight="1">
      <c r="A19" s="4"/>
      <c r="B19" s="377" t="s">
        <v>67</v>
      </c>
      <c r="C19" s="391">
        <v>0.1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340">
        <v>0</v>
      </c>
      <c r="K19" s="340">
        <v>0</v>
      </c>
      <c r="L19" s="340">
        <v>0</v>
      </c>
      <c r="M19" s="340">
        <v>0</v>
      </c>
      <c r="N19" s="340">
        <v>0</v>
      </c>
      <c r="O19" s="340">
        <f t="shared" ref="O19:O21" si="35">N19*(1+$C19)</f>
        <v>0</v>
      </c>
      <c r="P19" s="341">
        <f t="shared" si="29"/>
        <v>0</v>
      </c>
      <c r="Q19" s="340">
        <v>10000</v>
      </c>
      <c r="R19" s="340">
        <f t="shared" ref="R19:AB19" si="36">Q19*(1+$C19)</f>
        <v>11000</v>
      </c>
      <c r="S19" s="340">
        <f t="shared" si="36"/>
        <v>12100.000000000002</v>
      </c>
      <c r="T19" s="340">
        <f t="shared" si="36"/>
        <v>13310.000000000004</v>
      </c>
      <c r="U19" s="340">
        <f t="shared" si="36"/>
        <v>14641.000000000005</v>
      </c>
      <c r="V19" s="340">
        <f t="shared" si="36"/>
        <v>16105.100000000008</v>
      </c>
      <c r="W19" s="340">
        <f t="shared" si="36"/>
        <v>17715.610000000011</v>
      </c>
      <c r="X19" s="340">
        <f t="shared" si="36"/>
        <v>19487.171000000013</v>
      </c>
      <c r="Y19" s="340">
        <f t="shared" si="36"/>
        <v>21435.888100000015</v>
      </c>
      <c r="Z19" s="340">
        <f t="shared" si="36"/>
        <v>23579.476910000019</v>
      </c>
      <c r="AA19" s="340">
        <f t="shared" si="36"/>
        <v>25937.424601000024</v>
      </c>
      <c r="AB19" s="340">
        <f t="shared" si="36"/>
        <v>28531.16706110003</v>
      </c>
      <c r="AC19" s="341">
        <f t="shared" si="14"/>
        <v>213842.83767210017</v>
      </c>
      <c r="AD19" s="340">
        <f>AB19*(1+$C19)</f>
        <v>31384.283767210036</v>
      </c>
      <c r="AE19" s="340">
        <f t="shared" ref="AE19:AO19" si="37">AD19*(1+$C19)</f>
        <v>34522.712143931043</v>
      </c>
      <c r="AF19" s="340">
        <f t="shared" si="37"/>
        <v>37974.983358324149</v>
      </c>
      <c r="AG19" s="340">
        <f t="shared" si="37"/>
        <v>41772.481694156566</v>
      </c>
      <c r="AH19" s="340">
        <f t="shared" si="37"/>
        <v>45949.729863572225</v>
      </c>
      <c r="AI19" s="340">
        <f t="shared" si="37"/>
        <v>50544.702849929454</v>
      </c>
      <c r="AJ19" s="340">
        <f t="shared" si="37"/>
        <v>55599.173134922406</v>
      </c>
      <c r="AK19" s="340">
        <f t="shared" si="37"/>
        <v>61159.090448414652</v>
      </c>
      <c r="AL19" s="340">
        <f t="shared" si="37"/>
        <v>67274.999493256124</v>
      </c>
      <c r="AM19" s="340">
        <f t="shared" si="37"/>
        <v>74002.499442581742</v>
      </c>
      <c r="AN19" s="340">
        <f t="shared" si="37"/>
        <v>81402.749386839918</v>
      </c>
      <c r="AO19" s="340">
        <f t="shared" si="37"/>
        <v>89543.024325523918</v>
      </c>
      <c r="AP19" s="341">
        <f t="shared" si="15"/>
        <v>671130.42990866222</v>
      </c>
      <c r="AQ19" s="340">
        <f>AO19*(1+$C19)</f>
        <v>98497.32675807632</v>
      </c>
      <c r="AR19" s="340">
        <f t="shared" ref="AR19:BB19" si="38">AQ19*(1+$C19)</f>
        <v>108347.05943388396</v>
      </c>
      <c r="AS19" s="340">
        <f t="shared" si="38"/>
        <v>119181.76537727236</v>
      </c>
      <c r="AT19" s="340">
        <f t="shared" si="38"/>
        <v>131099.9419149996</v>
      </c>
      <c r="AU19" s="340">
        <f t="shared" si="38"/>
        <v>144209.93610649958</v>
      </c>
      <c r="AV19" s="340">
        <f t="shared" si="38"/>
        <v>158630.92971714956</v>
      </c>
      <c r="AW19" s="340">
        <f t="shared" si="38"/>
        <v>174494.02268886453</v>
      </c>
      <c r="AX19" s="340">
        <f t="shared" si="38"/>
        <v>191943.42495775101</v>
      </c>
      <c r="AY19" s="340">
        <f t="shared" si="38"/>
        <v>211137.76745352612</v>
      </c>
      <c r="AZ19" s="340">
        <f t="shared" si="38"/>
        <v>232251.54419887875</v>
      </c>
      <c r="BA19" s="340">
        <f t="shared" si="38"/>
        <v>255476.69861876665</v>
      </c>
      <c r="BB19" s="340">
        <f t="shared" si="38"/>
        <v>281024.36848064332</v>
      </c>
      <c r="BC19" s="341">
        <f t="shared" ref="BC19" si="39">SUM(AQ19:BB19)</f>
        <v>2106294.7857063119</v>
      </c>
      <c r="BD19" s="340">
        <f>BB19*(1+$C19)</f>
        <v>309126.80532870768</v>
      </c>
      <c r="BE19" s="340">
        <f t="shared" ref="BE19:BO19" si="40">BD19*(1+$C19)</f>
        <v>340039.48586157849</v>
      </c>
      <c r="BF19" s="340">
        <f t="shared" si="40"/>
        <v>374043.43444773636</v>
      </c>
      <c r="BG19" s="340">
        <f t="shared" si="40"/>
        <v>411447.77789251006</v>
      </c>
      <c r="BH19" s="340">
        <f t="shared" si="40"/>
        <v>452592.55568176112</v>
      </c>
      <c r="BI19" s="340">
        <f t="shared" si="40"/>
        <v>497851.81124993728</v>
      </c>
      <c r="BJ19" s="340">
        <f t="shared" si="40"/>
        <v>547636.992374931</v>
      </c>
      <c r="BK19" s="340">
        <f t="shared" si="40"/>
        <v>602400.6916124241</v>
      </c>
      <c r="BL19" s="340">
        <f t="shared" si="40"/>
        <v>662640.76077366655</v>
      </c>
      <c r="BM19" s="340">
        <f t="shared" si="40"/>
        <v>728904.83685103327</v>
      </c>
      <c r="BN19" s="340">
        <f t="shared" si="40"/>
        <v>801795.32053613663</v>
      </c>
      <c r="BO19" s="340">
        <f t="shared" si="40"/>
        <v>881974.85258975031</v>
      </c>
      <c r="BP19" s="341">
        <f t="shared" ref="BP19" si="41">SUM(BD19:BO19)</f>
        <v>6610455.3252001731</v>
      </c>
      <c r="BQ19" s="341">
        <f t="shared" si="28"/>
        <v>9601723.378487248</v>
      </c>
      <c r="BR19" s="54"/>
    </row>
    <row r="20" spans="1:70" ht="13.5" customHeight="1">
      <c r="A20" s="4"/>
      <c r="B20" s="377" t="s">
        <v>68</v>
      </c>
      <c r="C20" s="391">
        <v>7.0000000000000007E-2</v>
      </c>
      <c r="D20" s="340">
        <v>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/>
      <c r="N20" s="340">
        <v>0</v>
      </c>
      <c r="O20" s="340">
        <v>0</v>
      </c>
      <c r="P20" s="341">
        <f t="shared" si="13"/>
        <v>0</v>
      </c>
      <c r="Q20" s="340">
        <v>50000</v>
      </c>
      <c r="R20" s="340">
        <f>Q20</f>
        <v>50000</v>
      </c>
      <c r="S20" s="340">
        <f t="shared" ref="S20:AB20" si="42">R20</f>
        <v>50000</v>
      </c>
      <c r="T20" s="340">
        <f t="shared" si="42"/>
        <v>50000</v>
      </c>
      <c r="U20" s="340">
        <f t="shared" si="42"/>
        <v>50000</v>
      </c>
      <c r="V20" s="340">
        <f t="shared" si="42"/>
        <v>50000</v>
      </c>
      <c r="W20" s="340">
        <f t="shared" si="42"/>
        <v>50000</v>
      </c>
      <c r="X20" s="340">
        <f t="shared" si="42"/>
        <v>50000</v>
      </c>
      <c r="Y20" s="340">
        <f t="shared" si="42"/>
        <v>50000</v>
      </c>
      <c r="Z20" s="340">
        <f t="shared" si="42"/>
        <v>50000</v>
      </c>
      <c r="AA20" s="340">
        <f t="shared" si="42"/>
        <v>50000</v>
      </c>
      <c r="AB20" s="340">
        <f t="shared" si="42"/>
        <v>50000</v>
      </c>
      <c r="AC20" s="341">
        <f t="shared" si="14"/>
        <v>600000</v>
      </c>
      <c r="AD20" s="340">
        <f>AB20*(1+$C20)</f>
        <v>53500</v>
      </c>
      <c r="AE20" s="340">
        <f t="shared" ref="AE20:AO20" si="43">AD20*(1+$C20)</f>
        <v>57245</v>
      </c>
      <c r="AF20" s="340">
        <f t="shared" si="43"/>
        <v>61252.15</v>
      </c>
      <c r="AG20" s="340">
        <f t="shared" si="43"/>
        <v>65539.800500000012</v>
      </c>
      <c r="AH20" s="340">
        <f t="shared" si="43"/>
        <v>70127.586535000024</v>
      </c>
      <c r="AI20" s="340">
        <f t="shared" si="43"/>
        <v>75036.517592450036</v>
      </c>
      <c r="AJ20" s="340">
        <f t="shared" si="43"/>
        <v>80289.073823921542</v>
      </c>
      <c r="AK20" s="340">
        <f t="shared" si="43"/>
        <v>85909.308991596059</v>
      </c>
      <c r="AL20" s="340">
        <f t="shared" si="43"/>
        <v>91922.960621007791</v>
      </c>
      <c r="AM20" s="340">
        <f t="shared" si="43"/>
        <v>98357.567864478347</v>
      </c>
      <c r="AN20" s="340">
        <f t="shared" si="43"/>
        <v>105242.59761499184</v>
      </c>
      <c r="AO20" s="340">
        <f t="shared" si="43"/>
        <v>112609.57944804127</v>
      </c>
      <c r="AP20" s="341">
        <f t="shared" si="15"/>
        <v>957032.14299148694</v>
      </c>
      <c r="AQ20" s="340">
        <f>AO20*(1+$C20)</f>
        <v>120492.25000940418</v>
      </c>
      <c r="AR20" s="340">
        <f t="shared" ref="AR20:BB20" si="44">AQ20*(1+$C20)</f>
        <v>128926.70751006248</v>
      </c>
      <c r="AS20" s="340">
        <f t="shared" si="44"/>
        <v>137951.57703576685</v>
      </c>
      <c r="AT20" s="340">
        <f t="shared" si="44"/>
        <v>147608.18742827055</v>
      </c>
      <c r="AU20" s="340">
        <f t="shared" si="44"/>
        <v>157940.7605482495</v>
      </c>
      <c r="AV20" s="340">
        <f t="shared" si="44"/>
        <v>168996.61378662699</v>
      </c>
      <c r="AW20" s="340">
        <f t="shared" si="44"/>
        <v>180826.3767516909</v>
      </c>
      <c r="AX20" s="340">
        <f t="shared" si="44"/>
        <v>193484.22312430927</v>
      </c>
      <c r="AY20" s="340">
        <f t="shared" si="44"/>
        <v>207028.11874301094</v>
      </c>
      <c r="AZ20" s="340">
        <f t="shared" si="44"/>
        <v>221520.08705502172</v>
      </c>
      <c r="BA20" s="340">
        <f t="shared" si="44"/>
        <v>237026.49314887327</v>
      </c>
      <c r="BB20" s="340">
        <f t="shared" si="44"/>
        <v>253618.34766929442</v>
      </c>
      <c r="BC20" s="341">
        <f t="shared" si="16"/>
        <v>2155419.7428105809</v>
      </c>
      <c r="BD20" s="340">
        <f>BB20*(1+$C20)</f>
        <v>271371.63200614502</v>
      </c>
      <c r="BE20" s="340">
        <f t="shared" ref="BE20:BO20" si="45">BD20*(1+$C20)</f>
        <v>290367.64624657517</v>
      </c>
      <c r="BF20" s="340">
        <f t="shared" si="45"/>
        <v>310693.38148383546</v>
      </c>
      <c r="BG20" s="340">
        <f t="shared" si="45"/>
        <v>332441.91818770394</v>
      </c>
      <c r="BH20" s="340">
        <f t="shared" si="45"/>
        <v>355712.85246084322</v>
      </c>
      <c r="BI20" s="340">
        <f t="shared" si="45"/>
        <v>380612.75213310227</v>
      </c>
      <c r="BJ20" s="340">
        <f t="shared" si="45"/>
        <v>407255.64478241943</v>
      </c>
      <c r="BK20" s="340">
        <f t="shared" si="45"/>
        <v>435763.53991718881</v>
      </c>
      <c r="BL20" s="340">
        <f t="shared" si="45"/>
        <v>466266.98771139205</v>
      </c>
      <c r="BM20" s="340">
        <f t="shared" si="45"/>
        <v>498905.67685118952</v>
      </c>
      <c r="BN20" s="340">
        <f t="shared" si="45"/>
        <v>533829.07423077279</v>
      </c>
      <c r="BO20" s="340">
        <f t="shared" si="45"/>
        <v>571197.10942692694</v>
      </c>
      <c r="BP20" s="341">
        <f t="shared" si="17"/>
        <v>4854418.215438094</v>
      </c>
      <c r="BQ20" s="341">
        <f t="shared" si="18"/>
        <v>8566870.1012401618</v>
      </c>
      <c r="BR20" s="54"/>
    </row>
    <row r="21" spans="1:70" ht="13.5" customHeight="1">
      <c r="A21" s="4"/>
      <c r="B21" s="377" t="s">
        <v>69</v>
      </c>
      <c r="C21" s="391">
        <v>0.1</v>
      </c>
      <c r="D21" s="340">
        <v>0</v>
      </c>
      <c r="E21" s="340">
        <v>0</v>
      </c>
      <c r="F21" s="340">
        <v>0</v>
      </c>
      <c r="G21" s="340">
        <v>0</v>
      </c>
      <c r="H21" s="340">
        <v>0</v>
      </c>
      <c r="I21" s="340">
        <v>0</v>
      </c>
      <c r="J21" s="340">
        <v>0</v>
      </c>
      <c r="K21" s="340">
        <v>0</v>
      </c>
      <c r="L21" s="340">
        <v>0</v>
      </c>
      <c r="M21" s="340">
        <v>0</v>
      </c>
      <c r="N21" s="340">
        <v>0</v>
      </c>
      <c r="O21" s="340">
        <f t="shared" si="35"/>
        <v>0</v>
      </c>
      <c r="P21" s="341">
        <f t="shared" ref="P21" si="46">SUM(D21:O21)</f>
        <v>0</v>
      </c>
      <c r="Q21" s="340">
        <v>10000</v>
      </c>
      <c r="R21" s="340">
        <f t="shared" ref="R21:AB21" si="47">Q21*(1+$C21)</f>
        <v>11000</v>
      </c>
      <c r="S21" s="340">
        <f t="shared" si="47"/>
        <v>12100.000000000002</v>
      </c>
      <c r="T21" s="340">
        <f t="shared" si="47"/>
        <v>13310.000000000004</v>
      </c>
      <c r="U21" s="340">
        <f t="shared" si="47"/>
        <v>14641.000000000005</v>
      </c>
      <c r="V21" s="340">
        <f t="shared" si="47"/>
        <v>16105.100000000008</v>
      </c>
      <c r="W21" s="340">
        <f t="shared" si="47"/>
        <v>17715.610000000011</v>
      </c>
      <c r="X21" s="340">
        <f t="shared" si="47"/>
        <v>19487.171000000013</v>
      </c>
      <c r="Y21" s="340">
        <f t="shared" si="47"/>
        <v>21435.888100000015</v>
      </c>
      <c r="Z21" s="340">
        <f t="shared" si="47"/>
        <v>23579.476910000019</v>
      </c>
      <c r="AA21" s="340">
        <f t="shared" si="47"/>
        <v>25937.424601000024</v>
      </c>
      <c r="AB21" s="340">
        <f t="shared" si="47"/>
        <v>28531.16706110003</v>
      </c>
      <c r="AC21" s="341">
        <f t="shared" si="14"/>
        <v>213842.83767210017</v>
      </c>
      <c r="AD21" s="340">
        <f>AB21*(1+$C21)</f>
        <v>31384.283767210036</v>
      </c>
      <c r="AE21" s="340">
        <f t="shared" ref="AE21:AO21" si="48">AD21*(1+$C21)</f>
        <v>34522.712143931043</v>
      </c>
      <c r="AF21" s="340">
        <f t="shared" si="48"/>
        <v>37974.983358324149</v>
      </c>
      <c r="AG21" s="340">
        <f t="shared" si="48"/>
        <v>41772.481694156566</v>
      </c>
      <c r="AH21" s="340">
        <f t="shared" si="48"/>
        <v>45949.729863572225</v>
      </c>
      <c r="AI21" s="340">
        <f t="shared" si="48"/>
        <v>50544.702849929454</v>
      </c>
      <c r="AJ21" s="340">
        <f t="shared" si="48"/>
        <v>55599.173134922406</v>
      </c>
      <c r="AK21" s="340">
        <f t="shared" si="48"/>
        <v>61159.090448414652</v>
      </c>
      <c r="AL21" s="340">
        <f t="shared" si="48"/>
        <v>67274.999493256124</v>
      </c>
      <c r="AM21" s="340">
        <f t="shared" si="48"/>
        <v>74002.499442581742</v>
      </c>
      <c r="AN21" s="340">
        <f t="shared" si="48"/>
        <v>81402.749386839918</v>
      </c>
      <c r="AO21" s="340">
        <f t="shared" si="48"/>
        <v>89543.024325523918</v>
      </c>
      <c r="AP21" s="341">
        <f t="shared" si="15"/>
        <v>671130.42990866222</v>
      </c>
      <c r="AQ21" s="340">
        <f>AO21*(1+$C21)</f>
        <v>98497.32675807632</v>
      </c>
      <c r="AR21" s="340">
        <f t="shared" ref="AR21:BB21" si="49">AQ21*(1+$C21)</f>
        <v>108347.05943388396</v>
      </c>
      <c r="AS21" s="340">
        <f t="shared" si="49"/>
        <v>119181.76537727236</v>
      </c>
      <c r="AT21" s="340">
        <f t="shared" si="49"/>
        <v>131099.9419149996</v>
      </c>
      <c r="AU21" s="340">
        <f t="shared" si="49"/>
        <v>144209.93610649958</v>
      </c>
      <c r="AV21" s="340">
        <f t="shared" si="49"/>
        <v>158630.92971714956</v>
      </c>
      <c r="AW21" s="340">
        <f t="shared" si="49"/>
        <v>174494.02268886453</v>
      </c>
      <c r="AX21" s="340">
        <f t="shared" si="49"/>
        <v>191943.42495775101</v>
      </c>
      <c r="AY21" s="340">
        <f t="shared" si="49"/>
        <v>211137.76745352612</v>
      </c>
      <c r="AZ21" s="340">
        <f t="shared" si="49"/>
        <v>232251.54419887875</v>
      </c>
      <c r="BA21" s="340">
        <f t="shared" si="49"/>
        <v>255476.69861876665</v>
      </c>
      <c r="BB21" s="340">
        <f t="shared" si="49"/>
        <v>281024.36848064332</v>
      </c>
      <c r="BC21" s="341">
        <f t="shared" ref="BC21" si="50">SUM(AQ21:BB21)</f>
        <v>2106294.7857063119</v>
      </c>
      <c r="BD21" s="340">
        <f>BB21*(1+$C21)</f>
        <v>309126.80532870768</v>
      </c>
      <c r="BE21" s="340">
        <f t="shared" ref="BE21:BO21" si="51">BD21*(1+$C21)</f>
        <v>340039.48586157849</v>
      </c>
      <c r="BF21" s="340">
        <f t="shared" si="51"/>
        <v>374043.43444773636</v>
      </c>
      <c r="BG21" s="340">
        <f t="shared" si="51"/>
        <v>411447.77789251006</v>
      </c>
      <c r="BH21" s="340">
        <f t="shared" si="51"/>
        <v>452592.55568176112</v>
      </c>
      <c r="BI21" s="340">
        <f t="shared" si="51"/>
        <v>497851.81124993728</v>
      </c>
      <c r="BJ21" s="340">
        <f t="shared" si="51"/>
        <v>547636.992374931</v>
      </c>
      <c r="BK21" s="340">
        <f t="shared" si="51"/>
        <v>602400.6916124241</v>
      </c>
      <c r="BL21" s="340">
        <f t="shared" si="51"/>
        <v>662640.76077366655</v>
      </c>
      <c r="BM21" s="340">
        <f t="shared" si="51"/>
        <v>728904.83685103327</v>
      </c>
      <c r="BN21" s="340">
        <f t="shared" si="51"/>
        <v>801795.32053613663</v>
      </c>
      <c r="BO21" s="340">
        <f t="shared" si="51"/>
        <v>881974.85258975031</v>
      </c>
      <c r="BP21" s="341">
        <f t="shared" ref="BP21" si="52">SUM(BD21:BO21)</f>
        <v>6610455.3252001731</v>
      </c>
      <c r="BQ21" s="341">
        <f t="shared" ref="BQ21" si="53">P21+AC21+AP21+BC21+BP21</f>
        <v>9601723.378487248</v>
      </c>
      <c r="BR21" s="54"/>
    </row>
    <row r="22" spans="1:70" ht="13.5" customHeight="1">
      <c r="A22" s="40"/>
      <c r="B22" s="378" t="s">
        <v>70</v>
      </c>
      <c r="C22" s="387"/>
      <c r="D22" s="342">
        <f t="shared" ref="D22:AI22" si="54">SUM(D7:D21)</f>
        <v>0</v>
      </c>
      <c r="E22" s="342">
        <f t="shared" si="54"/>
        <v>0</v>
      </c>
      <c r="F22" s="342">
        <f t="shared" si="54"/>
        <v>0</v>
      </c>
      <c r="G22" s="342">
        <f t="shared" si="54"/>
        <v>0</v>
      </c>
      <c r="H22" s="342">
        <f t="shared" si="54"/>
        <v>0</v>
      </c>
      <c r="I22" s="342">
        <f t="shared" si="54"/>
        <v>0</v>
      </c>
      <c r="J22" s="342">
        <f t="shared" si="54"/>
        <v>0</v>
      </c>
      <c r="K22" s="342">
        <f t="shared" si="54"/>
        <v>0</v>
      </c>
      <c r="L22" s="342">
        <f t="shared" si="54"/>
        <v>0</v>
      </c>
      <c r="M22" s="342">
        <f t="shared" si="54"/>
        <v>0</v>
      </c>
      <c r="N22" s="342">
        <f t="shared" si="54"/>
        <v>0</v>
      </c>
      <c r="O22" s="342">
        <f t="shared" si="54"/>
        <v>1479311.5</v>
      </c>
      <c r="P22" s="343">
        <f t="shared" si="54"/>
        <v>1479311.5</v>
      </c>
      <c r="Q22" s="342">
        <f t="shared" si="54"/>
        <v>1549311.5</v>
      </c>
      <c r="R22" s="342">
        <f t="shared" si="54"/>
        <v>4655236.5250000004</v>
      </c>
      <c r="S22" s="342">
        <f t="shared" si="54"/>
        <v>4657436.5250000004</v>
      </c>
      <c r="T22" s="342">
        <f t="shared" si="54"/>
        <v>1395789.5</v>
      </c>
      <c r="U22" s="342">
        <f t="shared" si="54"/>
        <v>553198.5</v>
      </c>
      <c r="V22" s="342">
        <f t="shared" si="54"/>
        <v>294048.11666666676</v>
      </c>
      <c r="W22" s="342">
        <f t="shared" si="54"/>
        <v>8008491.5216666674</v>
      </c>
      <c r="X22" s="342">
        <f t="shared" si="54"/>
        <v>2232725.1336666672</v>
      </c>
      <c r="Y22" s="342">
        <f t="shared" si="54"/>
        <v>304709.69286666677</v>
      </c>
      <c r="Z22" s="342">
        <f t="shared" si="54"/>
        <v>8553934.7704866678</v>
      </c>
      <c r="AA22" s="342">
        <f t="shared" si="54"/>
        <v>7082218.1358686667</v>
      </c>
      <c r="AB22" s="342">
        <f t="shared" si="54"/>
        <v>318900.25078886672</v>
      </c>
      <c r="AC22" s="343">
        <f t="shared" si="54"/>
        <v>39606000.172010869</v>
      </c>
      <c r="AD22" s="342">
        <f t="shared" si="54"/>
        <v>1736018.4008677534</v>
      </c>
      <c r="AE22" s="342">
        <f t="shared" si="54"/>
        <v>1746040.2576211954</v>
      </c>
      <c r="AF22" s="342">
        <f t="shared" si="54"/>
        <v>1471956.7000499812</v>
      </c>
      <c r="AG22" s="342">
        <f t="shared" si="54"/>
        <v>2747564.7472216468</v>
      </c>
      <c r="AH22" s="342">
        <f t="shared" si="54"/>
        <v>1761271.3795954776</v>
      </c>
      <c r="AI22" s="342">
        <f t="shared" si="54"/>
        <v>1775370.2566256423</v>
      </c>
      <c r="AJ22" s="342">
        <f t="shared" ref="AJ22:BO22" si="55">SUM(AJ7:AJ21)</f>
        <v>13621665.793427102</v>
      </c>
      <c r="AK22" s="342">
        <f t="shared" si="55"/>
        <v>1807471.8232217587</v>
      </c>
      <c r="AL22" s="342">
        <f t="shared" si="55"/>
        <v>1825717.2929408534</v>
      </c>
      <c r="AM22" s="342">
        <f t="shared" si="55"/>
        <v>20294356.100082971</v>
      </c>
      <c r="AN22" s="342">
        <f t="shared" si="55"/>
        <v>2532871.639722005</v>
      </c>
      <c r="AO22" s="342">
        <f t="shared" si="55"/>
        <v>1890939.9614324225</v>
      </c>
      <c r="AP22" s="343">
        <f t="shared" si="55"/>
        <v>53211244.352808818</v>
      </c>
      <c r="AQ22" s="342">
        <f t="shared" si="55"/>
        <v>4868884.6035255576</v>
      </c>
      <c r="AR22" s="342">
        <f t="shared" si="55"/>
        <v>4099031.8263778305</v>
      </c>
      <c r="AS22" s="342">
        <f t="shared" si="55"/>
        <v>4129726.1077903118</v>
      </c>
      <c r="AT22" s="342">
        <f t="shared" si="55"/>
        <v>5572766.1712582698</v>
      </c>
      <c r="AU22" s="342">
        <f t="shared" si="55"/>
        <v>4562500.4327612491</v>
      </c>
      <c r="AV22" s="342">
        <f t="shared" si="55"/>
        <v>4602398.2732209256</v>
      </c>
      <c r="AW22" s="342">
        <f t="shared" si="55"/>
        <v>18984774.072129425</v>
      </c>
      <c r="AX22" s="342">
        <f t="shared" si="55"/>
        <v>4693510.8730398118</v>
      </c>
      <c r="AY22" s="342">
        <f t="shared" si="55"/>
        <v>4745443.4536500629</v>
      </c>
      <c r="AZ22" s="342">
        <f t="shared" si="55"/>
        <v>26366548.325452778</v>
      </c>
      <c r="BA22" s="342">
        <f t="shared" si="55"/>
        <v>5763283.3003864074</v>
      </c>
      <c r="BB22" s="342">
        <f t="shared" si="55"/>
        <v>4931806.8846305814</v>
      </c>
      <c r="BC22" s="343">
        <f t="shared" si="55"/>
        <v>93320674.324223205</v>
      </c>
      <c r="BD22" s="342">
        <f t="shared" si="55"/>
        <v>8299912.7093302272</v>
      </c>
      <c r="BE22" s="342">
        <f t="shared" si="55"/>
        <v>7240753.0846363995</v>
      </c>
      <c r="BF22" s="342">
        <f t="shared" si="55"/>
        <v>7329086.7170459749</v>
      </c>
      <c r="BG22" s="342">
        <f t="shared" si="55"/>
        <v>7425643.9406393915</v>
      </c>
      <c r="BH22" s="342">
        <f t="shared" si="55"/>
        <v>7531204.430491033</v>
      </c>
      <c r="BI22" s="342">
        <f t="shared" si="55"/>
        <v>7646622.8412996428</v>
      </c>
      <c r="BJ22" s="342">
        <f t="shared" si="55"/>
        <v>26815531.812865615</v>
      </c>
      <c r="BK22" s="342">
        <f t="shared" si="55"/>
        <v>10065038.056475371</v>
      </c>
      <c r="BL22" s="342">
        <f t="shared" si="55"/>
        <v>10216021.642592058</v>
      </c>
      <c r="BM22" s="342">
        <f t="shared" si="55"/>
        <v>35676742.533886582</v>
      </c>
      <c r="BN22" s="342">
        <f t="shared" si="55"/>
        <v>11731220.65863638</v>
      </c>
      <c r="BO22" s="342">
        <f t="shared" si="55"/>
        <v>12327093.817939762</v>
      </c>
      <c r="BP22" s="343">
        <f t="shared" ref="BP22:BQ22" si="56">SUM(BP7:BP21)</f>
        <v>152304872.24583843</v>
      </c>
      <c r="BQ22" s="343">
        <f t="shared" si="56"/>
        <v>339922102.5948813</v>
      </c>
      <c r="BR22" s="84"/>
    </row>
    <row r="23" spans="1:70" ht="13.5" customHeight="1">
      <c r="A23" s="4"/>
      <c r="B23" s="328"/>
      <c r="C23" s="328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5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5"/>
      <c r="AD23" s="344"/>
      <c r="AE23" s="344"/>
      <c r="AF23" s="344"/>
      <c r="AG23" s="344"/>
      <c r="AH23" s="344"/>
      <c r="AI23" s="344"/>
      <c r="AJ23" s="344"/>
      <c r="AK23" s="344"/>
      <c r="AL23" s="344"/>
      <c r="AM23" s="344"/>
      <c r="AN23" s="344"/>
      <c r="AO23" s="344"/>
      <c r="AP23" s="345"/>
      <c r="AQ23" s="346"/>
      <c r="AR23" s="346"/>
      <c r="AS23" s="346"/>
      <c r="AT23" s="346"/>
      <c r="AU23" s="346"/>
      <c r="AV23" s="346"/>
      <c r="AW23" s="346"/>
      <c r="AX23" s="346"/>
      <c r="AY23" s="346"/>
      <c r="AZ23" s="346"/>
      <c r="BA23" s="346"/>
      <c r="BB23" s="346"/>
      <c r="BC23" s="347"/>
      <c r="BD23" s="346"/>
      <c r="BE23" s="346"/>
      <c r="BF23" s="346"/>
      <c r="BG23" s="346"/>
      <c r="BH23" s="346"/>
      <c r="BI23" s="346"/>
      <c r="BJ23" s="346"/>
      <c r="BK23" s="346"/>
      <c r="BL23" s="346"/>
      <c r="BM23" s="346"/>
      <c r="BN23" s="346"/>
      <c r="BO23" s="346"/>
      <c r="BP23" s="347"/>
      <c r="BQ23" s="347"/>
      <c r="BR23" s="85"/>
    </row>
    <row r="24" spans="1:70" ht="13.5" customHeight="1">
      <c r="A24" s="32"/>
      <c r="B24" s="379" t="s">
        <v>71</v>
      </c>
      <c r="C24" s="379"/>
      <c r="D24" s="348"/>
      <c r="E24" s="348"/>
      <c r="F24" s="348"/>
      <c r="G24" s="348"/>
      <c r="H24" s="348"/>
      <c r="I24" s="348"/>
      <c r="J24" s="348"/>
      <c r="K24" s="348"/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  <c r="AA24" s="348"/>
      <c r="AB24" s="348"/>
      <c r="AC24" s="348"/>
      <c r="AD24" s="348"/>
      <c r="AE24" s="348"/>
      <c r="AF24" s="348"/>
      <c r="AG24" s="348"/>
      <c r="AH24" s="348"/>
      <c r="AI24" s="348"/>
      <c r="AJ24" s="348"/>
      <c r="AK24" s="348"/>
      <c r="AL24" s="348"/>
      <c r="AM24" s="348"/>
      <c r="AN24" s="348"/>
      <c r="AO24" s="348"/>
      <c r="AP24" s="348"/>
      <c r="AQ24" s="338"/>
      <c r="AR24" s="338"/>
      <c r="AS24" s="338"/>
      <c r="AT24" s="338"/>
      <c r="AU24" s="338"/>
      <c r="AV24" s="338"/>
      <c r="AW24" s="338"/>
      <c r="AX24" s="338"/>
      <c r="AY24" s="338"/>
      <c r="AZ24" s="338"/>
      <c r="BA24" s="338"/>
      <c r="BB24" s="338"/>
      <c r="BC24" s="338"/>
      <c r="BD24" s="338"/>
      <c r="BE24" s="338"/>
      <c r="BF24" s="338"/>
      <c r="BG24" s="338"/>
      <c r="BH24" s="338"/>
      <c r="BI24" s="338"/>
      <c r="BJ24" s="338"/>
      <c r="BK24" s="338"/>
      <c r="BL24" s="338"/>
      <c r="BM24" s="338"/>
      <c r="BN24" s="338"/>
      <c r="BO24" s="338"/>
      <c r="BP24" s="338"/>
      <c r="BQ24" s="338"/>
      <c r="BR24" s="82"/>
    </row>
    <row r="25" spans="1:70" ht="13.5" customHeight="1">
      <c r="A25" s="50" t="s">
        <v>71</v>
      </c>
      <c r="B25" s="380"/>
      <c r="C25" s="380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49"/>
      <c r="O25" s="349"/>
      <c r="P25" s="350"/>
      <c r="Q25" s="349"/>
      <c r="R25" s="349"/>
      <c r="S25" s="349"/>
      <c r="T25" s="349"/>
      <c r="U25" s="349"/>
      <c r="V25" s="349"/>
      <c r="W25" s="349"/>
      <c r="X25" s="349"/>
      <c r="Y25" s="349"/>
      <c r="Z25" s="349"/>
      <c r="AA25" s="349"/>
      <c r="AB25" s="349"/>
      <c r="AC25" s="350"/>
      <c r="AD25" s="349"/>
      <c r="AE25" s="349"/>
      <c r="AF25" s="349"/>
      <c r="AG25" s="349"/>
      <c r="AH25" s="349"/>
      <c r="AI25" s="349"/>
      <c r="AJ25" s="349"/>
      <c r="AK25" s="349"/>
      <c r="AL25" s="349"/>
      <c r="AM25" s="349"/>
      <c r="AN25" s="349"/>
      <c r="AO25" s="349"/>
      <c r="AP25" s="350"/>
      <c r="AQ25" s="351"/>
      <c r="AR25" s="351"/>
      <c r="AS25" s="351"/>
      <c r="AT25" s="351"/>
      <c r="AU25" s="351"/>
      <c r="AV25" s="351"/>
      <c r="AW25" s="351"/>
      <c r="AX25" s="351"/>
      <c r="AY25" s="351"/>
      <c r="AZ25" s="351"/>
      <c r="BA25" s="351"/>
      <c r="BB25" s="351"/>
      <c r="BC25" s="352"/>
      <c r="BD25" s="351"/>
      <c r="BE25" s="351"/>
      <c r="BF25" s="351"/>
      <c r="BG25" s="351"/>
      <c r="BH25" s="351"/>
      <c r="BI25" s="351"/>
      <c r="BJ25" s="351"/>
      <c r="BK25" s="351"/>
      <c r="BL25" s="351"/>
      <c r="BM25" s="351"/>
      <c r="BN25" s="351"/>
      <c r="BO25" s="351"/>
      <c r="BP25" s="352"/>
      <c r="BQ25" s="352"/>
      <c r="BR25" s="82"/>
    </row>
    <row r="26" spans="1:70" ht="13.5" customHeight="1">
      <c r="A26" s="4"/>
      <c r="B26" s="377" t="s">
        <v>582</v>
      </c>
      <c r="C26" s="377"/>
      <c r="D26" s="353">
        <f>BKFC!C99</f>
        <v>0</v>
      </c>
      <c r="E26" s="353">
        <f>BKFC!D99</f>
        <v>0</v>
      </c>
      <c r="F26" s="353">
        <f>BKFC!E99</f>
        <v>0</v>
      </c>
      <c r="G26" s="353">
        <f>BKFC!F99</f>
        <v>0</v>
      </c>
      <c r="H26" s="353">
        <f>BKFC!G99</f>
        <v>0</v>
      </c>
      <c r="I26" s="353">
        <f>BKFC!H99</f>
        <v>0</v>
      </c>
      <c r="J26" s="353">
        <f>BKFC!I99</f>
        <v>0</v>
      </c>
      <c r="K26" s="353">
        <f>BKFC!J99</f>
        <v>0</v>
      </c>
      <c r="L26" s="353">
        <f>BKFC!K99</f>
        <v>0</v>
      </c>
      <c r="M26" s="353">
        <f>BKFC!L99</f>
        <v>0</v>
      </c>
      <c r="N26" s="353">
        <f>BKFC!M99</f>
        <v>417165.84299999999</v>
      </c>
      <c r="O26" s="353">
        <f>BKFC!N99</f>
        <v>0</v>
      </c>
      <c r="P26" s="341">
        <f t="shared" ref="P26:P40" si="57">SUM(D26:O26)</f>
        <v>417165.84299999999</v>
      </c>
      <c r="Q26" s="353">
        <f>BKFC!P99</f>
        <v>1292472.699</v>
      </c>
      <c r="R26" s="353">
        <f>BKFC!Q99</f>
        <v>973386.96699999995</v>
      </c>
      <c r="S26" s="353">
        <f>BKFC!R99</f>
        <v>80368.661999999997</v>
      </c>
      <c r="T26" s="353">
        <f>BKFC!S99</f>
        <v>3015769.6310000001</v>
      </c>
      <c r="U26" s="353">
        <f>BKFC!T99</f>
        <v>187526.87799999997</v>
      </c>
      <c r="V26" s="353">
        <f>BKFC!U99</f>
        <v>544799.43000000005</v>
      </c>
      <c r="W26" s="353">
        <f>BKFC!V99</f>
        <v>0</v>
      </c>
      <c r="X26" s="353">
        <f>BKFC!W99</f>
        <v>1271198.67</v>
      </c>
      <c r="Y26" s="353">
        <f>BKFC!X99</f>
        <v>1774651.845</v>
      </c>
      <c r="Z26" s="353">
        <f>BKFC!Y99</f>
        <v>0</v>
      </c>
      <c r="AA26" s="353">
        <f>BKFC!Z99</f>
        <v>4140854.3050000002</v>
      </c>
      <c r="AB26" s="353">
        <f>BKFC!AA99</f>
        <v>80368.661999999997</v>
      </c>
      <c r="AC26" s="341">
        <f t="shared" ref="AC26:AC40" si="58">SUM(Q26:AB26)</f>
        <v>13361397.749</v>
      </c>
      <c r="AD26" s="353">
        <f>BKFC!AC99</f>
        <v>267895.53999999998</v>
      </c>
      <c r="AE26" s="353">
        <f>BKFC!AD99</f>
        <v>187526.87799999997</v>
      </c>
      <c r="AF26" s="353">
        <f>BKFC!AE99</f>
        <v>0</v>
      </c>
      <c r="AG26" s="353">
        <f>BKFC!AF99</f>
        <v>0</v>
      </c>
      <c r="AH26" s="353">
        <f>BKFC!AG99</f>
        <v>804144.04499999993</v>
      </c>
      <c r="AI26" s="353">
        <f>BKFC!AH99</f>
        <v>0</v>
      </c>
      <c r="AJ26" s="353">
        <f>BKFC!AI99</f>
        <v>1876336.1049999997</v>
      </c>
      <c r="AK26" s="353">
        <f>BKFC!AJ99</f>
        <v>2460381.4109999998</v>
      </c>
      <c r="AL26" s="353">
        <f>BKFC!AK99</f>
        <v>0</v>
      </c>
      <c r="AM26" s="353">
        <f>BKFC!AL99</f>
        <v>5740889.9589999998</v>
      </c>
      <c r="AN26" s="353">
        <f>BKFC!AM99</f>
        <v>112516.125</v>
      </c>
      <c r="AO26" s="353">
        <f>BKFC!AN99</f>
        <v>0</v>
      </c>
      <c r="AP26" s="341">
        <f t="shared" ref="AP26:AP40" si="59">SUM(AD26:AO26)</f>
        <v>11449690.063000001</v>
      </c>
      <c r="AQ26" s="353">
        <f>BKFC!AP99</f>
        <v>262537.625</v>
      </c>
      <c r="AR26" s="353">
        <f>BKFC!AQ99</f>
        <v>0</v>
      </c>
      <c r="AS26" s="353">
        <f>BKFC!AR99</f>
        <v>0</v>
      </c>
      <c r="AT26" s="353">
        <f>BKFC!AS99</f>
        <v>0</v>
      </c>
      <c r="AU26" s="353">
        <f>BKFC!AT99</f>
        <v>981330.42599999998</v>
      </c>
      <c r="AV26" s="353">
        <f>BKFC!AU99</f>
        <v>0</v>
      </c>
      <c r="AW26" s="353">
        <f>BKFC!AV99</f>
        <v>2289770.9939999999</v>
      </c>
      <c r="AX26" s="353">
        <f>BKFC!AW99</f>
        <v>2892976.9529999997</v>
      </c>
      <c r="AY26" s="353">
        <f>BKFC!AX99</f>
        <v>0</v>
      </c>
      <c r="AZ26" s="353">
        <f>BKFC!AY99</f>
        <v>6750279.5569999991</v>
      </c>
      <c r="BA26" s="353">
        <f>BKFC!AZ99</f>
        <v>160737.32099999997</v>
      </c>
      <c r="BB26" s="353">
        <f>BKFC!BA99</f>
        <v>0</v>
      </c>
      <c r="BC26" s="341">
        <f t="shared" ref="BC26:BC40" si="60">SUM(AQ26:BB26)</f>
        <v>13337632.876</v>
      </c>
      <c r="BD26" s="353">
        <f>BKFC!BC99</f>
        <v>375053.74899999995</v>
      </c>
      <c r="BE26" s="353">
        <f>BKFC!BD99</f>
        <v>0</v>
      </c>
      <c r="BF26" s="353">
        <f>BKFC!BE99</f>
        <v>0</v>
      </c>
      <c r="BG26" s="353">
        <f>BKFC!BF99</f>
        <v>0</v>
      </c>
      <c r="BH26" s="353">
        <f>BKFC!BG99</f>
        <v>1158516.807</v>
      </c>
      <c r="BI26" s="353">
        <f>BKFC!BH99</f>
        <v>0</v>
      </c>
      <c r="BJ26" s="353">
        <f>BKFC!BI99</f>
        <v>2703205.8829999999</v>
      </c>
      <c r="BK26" s="353">
        <f>BKFC!BJ99</f>
        <v>3566673.12</v>
      </c>
      <c r="BL26" s="353">
        <f>BKFC!BK99</f>
        <v>0</v>
      </c>
      <c r="BM26" s="353">
        <f>BKFC!BL99</f>
        <v>8322237.2799999993</v>
      </c>
      <c r="BN26" s="353">
        <f>BKFC!BM99</f>
        <v>200921.65199999997</v>
      </c>
      <c r="BO26" s="353">
        <f>BKFC!BN99</f>
        <v>468817.18799999997</v>
      </c>
      <c r="BP26" s="341">
        <f t="shared" ref="BP26:BP40" si="61">SUM(BD26:BO26)</f>
        <v>16795425.678999998</v>
      </c>
      <c r="BQ26" s="341">
        <f t="shared" ref="BQ26:BQ40" si="62">P26+AC26+AP26+BC26+BP26</f>
        <v>55361312.210000001</v>
      </c>
      <c r="BR26" s="54"/>
    </row>
    <row r="27" spans="1:70" ht="13.5" customHeight="1">
      <c r="A27" s="4"/>
      <c r="B27" s="162" t="s">
        <v>1034</v>
      </c>
      <c r="C27" s="377"/>
      <c r="D27" s="353">
        <f>Ted!C99</f>
        <v>0</v>
      </c>
      <c r="E27" s="353">
        <f>Ted!D99</f>
        <v>0</v>
      </c>
      <c r="F27" s="353">
        <f>Ted!E99</f>
        <v>0</v>
      </c>
      <c r="G27" s="353">
        <f>Ted!F99</f>
        <v>0</v>
      </c>
      <c r="H27" s="353">
        <f>Ted!G99</f>
        <v>0</v>
      </c>
      <c r="I27" s="353">
        <f>Ted!H99</f>
        <v>0</v>
      </c>
      <c r="J27" s="353">
        <f>Ted!I99</f>
        <v>0</v>
      </c>
      <c r="K27" s="353">
        <f>Ted!J99</f>
        <v>0</v>
      </c>
      <c r="L27" s="353">
        <f>Ted!K99</f>
        <v>0</v>
      </c>
      <c r="M27" s="353">
        <f>Ted!L99</f>
        <v>0</v>
      </c>
      <c r="N27" s="353">
        <f>Ted!M99</f>
        <v>0</v>
      </c>
      <c r="O27" s="353">
        <f>Ted!N99</f>
        <v>0</v>
      </c>
      <c r="P27" s="341">
        <f t="shared" si="57"/>
        <v>0</v>
      </c>
      <c r="Q27" s="353">
        <f>Ted!P99</f>
        <v>0</v>
      </c>
      <c r="R27" s="353">
        <f>Ted!Q99</f>
        <v>0</v>
      </c>
      <c r="S27" s="353">
        <f>Ted!R99</f>
        <v>0</v>
      </c>
      <c r="T27" s="353">
        <f>Ted!S99</f>
        <v>0</v>
      </c>
      <c r="U27" s="353">
        <f>Ted!T99</f>
        <v>0</v>
      </c>
      <c r="V27" s="353">
        <f>Ted!U99</f>
        <v>0</v>
      </c>
      <c r="W27" s="353">
        <f>Ted!V99</f>
        <v>1129236.5</v>
      </c>
      <c r="X27" s="353">
        <f>Ted!W99</f>
        <v>0</v>
      </c>
      <c r="Y27" s="353">
        <f>Ted!X99</f>
        <v>0</v>
      </c>
      <c r="Z27" s="353">
        <f>Ted!Y99</f>
        <v>0</v>
      </c>
      <c r="AA27" s="353">
        <f>Ted!Z99</f>
        <v>0</v>
      </c>
      <c r="AB27" s="353">
        <f>Ted!AA99</f>
        <v>0</v>
      </c>
      <c r="AC27" s="341">
        <f t="shared" si="58"/>
        <v>1129236.5</v>
      </c>
      <c r="AD27" s="353">
        <f>Ted!AC99</f>
        <v>0</v>
      </c>
      <c r="AE27" s="353">
        <f>Ted!AD99</f>
        <v>0</v>
      </c>
      <c r="AF27" s="353">
        <f>Ted!AE99</f>
        <v>0</v>
      </c>
      <c r="AG27" s="353">
        <f>Ted!AF99</f>
        <v>0</v>
      </c>
      <c r="AH27" s="353">
        <f>Ted!AG99</f>
        <v>0</v>
      </c>
      <c r="AI27" s="353">
        <f>Ted!AH99</f>
        <v>0</v>
      </c>
      <c r="AJ27" s="353">
        <f>Ted!AI99</f>
        <v>1619643.13</v>
      </c>
      <c r="AK27" s="353">
        <f>Ted!AJ99</f>
        <v>0</v>
      </c>
      <c r="AL27" s="353">
        <f>Ted!AK99</f>
        <v>0</v>
      </c>
      <c r="AM27" s="353">
        <f>Ted!AL99</f>
        <v>0</v>
      </c>
      <c r="AN27" s="353">
        <f>Ted!AM99</f>
        <v>0</v>
      </c>
      <c r="AO27" s="353">
        <f>Ted!AN99</f>
        <v>0</v>
      </c>
      <c r="AP27" s="341">
        <f t="shared" si="59"/>
        <v>1619643.13</v>
      </c>
      <c r="AQ27" s="353">
        <f>Ted!AP99</f>
        <v>0</v>
      </c>
      <c r="AR27" s="353">
        <f>Ted!AQ99</f>
        <v>0</v>
      </c>
      <c r="AS27" s="353">
        <f>Ted!AR99</f>
        <v>0</v>
      </c>
      <c r="AT27" s="353">
        <f>Ted!AS99</f>
        <v>0</v>
      </c>
      <c r="AU27" s="353">
        <f>Ted!AT99</f>
        <v>0</v>
      </c>
      <c r="AV27" s="353">
        <f>Ted!AU99</f>
        <v>0</v>
      </c>
      <c r="AW27" s="353">
        <f>Ted!AV99</f>
        <v>2110049.75</v>
      </c>
      <c r="AX27" s="353">
        <f>Ted!AW99</f>
        <v>0</v>
      </c>
      <c r="AY27" s="353">
        <f>Ted!AX99</f>
        <v>0</v>
      </c>
      <c r="AZ27" s="353">
        <f>Ted!AY99</f>
        <v>0</v>
      </c>
      <c r="BA27" s="353">
        <f>Ted!AZ99</f>
        <v>0</v>
      </c>
      <c r="BB27" s="353">
        <f>Ted!BA99</f>
        <v>0</v>
      </c>
      <c r="BC27" s="341">
        <f t="shared" si="60"/>
        <v>2110049.75</v>
      </c>
      <c r="BD27" s="353">
        <f>Ted!BC99</f>
        <v>0</v>
      </c>
      <c r="BE27" s="353">
        <f>Ted!BD99</f>
        <v>0</v>
      </c>
      <c r="BF27" s="353">
        <f>Ted!BE99</f>
        <v>0</v>
      </c>
      <c r="BG27" s="353">
        <f>Ted!BF99</f>
        <v>0</v>
      </c>
      <c r="BH27" s="353">
        <f>Ted!BG99</f>
        <v>0</v>
      </c>
      <c r="BI27" s="353">
        <f>Ted!BH99</f>
        <v>0</v>
      </c>
      <c r="BJ27" s="353">
        <f>Ted!BI99</f>
        <v>2600456.38</v>
      </c>
      <c r="BK27" s="353">
        <f>Ted!BJ99</f>
        <v>0</v>
      </c>
      <c r="BL27" s="353">
        <f>Ted!BK99</f>
        <v>0</v>
      </c>
      <c r="BM27" s="353">
        <f>Ted!BL99</f>
        <v>0</v>
      </c>
      <c r="BN27" s="353">
        <f>Ted!BM99</f>
        <v>0</v>
      </c>
      <c r="BO27" s="353">
        <f>Ted!BN99</f>
        <v>0</v>
      </c>
      <c r="BP27" s="341">
        <f t="shared" ref="BP27:BP30" si="63">SUM(BD27:BO27)</f>
        <v>2600456.38</v>
      </c>
      <c r="BQ27" s="341">
        <f t="shared" ref="BQ27:BQ30" si="64">P27+AC27+AP27+BC27+BP27</f>
        <v>7459385.7599999998</v>
      </c>
      <c r="BR27" s="54"/>
    </row>
    <row r="28" spans="1:70" ht="13.5" customHeight="1">
      <c r="A28" s="4"/>
      <c r="B28" s="162" t="s">
        <v>1035</v>
      </c>
      <c r="C28" s="377"/>
      <c r="D28" s="353">
        <f>CareBears!C99</f>
        <v>0</v>
      </c>
      <c r="E28" s="353">
        <f>CareBears!D99</f>
        <v>0</v>
      </c>
      <c r="F28" s="353">
        <f>CareBears!E99</f>
        <v>0</v>
      </c>
      <c r="G28" s="353">
        <f>CareBears!F99</f>
        <v>0</v>
      </c>
      <c r="H28" s="353">
        <f>CareBears!G99</f>
        <v>0</v>
      </c>
      <c r="I28" s="353">
        <f>CareBears!H99</f>
        <v>0</v>
      </c>
      <c r="J28" s="353">
        <f>CareBears!I99</f>
        <v>0</v>
      </c>
      <c r="K28" s="353">
        <f>CareBears!J99</f>
        <v>0</v>
      </c>
      <c r="L28" s="353">
        <f>CareBears!K99</f>
        <v>0</v>
      </c>
      <c r="M28" s="353">
        <f>CareBears!L99</f>
        <v>0</v>
      </c>
      <c r="N28" s="353">
        <f>CareBears!M99</f>
        <v>0</v>
      </c>
      <c r="O28" s="353">
        <f>CareBears!N99</f>
        <v>0</v>
      </c>
      <c r="P28" s="341">
        <f t="shared" si="57"/>
        <v>0</v>
      </c>
      <c r="Q28" s="353">
        <f>CareBears!P99</f>
        <v>0</v>
      </c>
      <c r="R28" s="353">
        <f>CareBears!Q99</f>
        <v>0</v>
      </c>
      <c r="S28" s="353">
        <f>CareBears!R99</f>
        <v>0</v>
      </c>
      <c r="T28" s="353">
        <f>CareBears!S99</f>
        <v>422626.5</v>
      </c>
      <c r="U28" s="353">
        <f>CareBears!T99</f>
        <v>0</v>
      </c>
      <c r="V28" s="353">
        <f>CareBears!U99</f>
        <v>0</v>
      </c>
      <c r="W28" s="353">
        <f>CareBears!V99</f>
        <v>0</v>
      </c>
      <c r="X28" s="353">
        <f>CareBears!W99</f>
        <v>0</v>
      </c>
      <c r="Y28" s="353">
        <f>CareBears!X99</f>
        <v>0</v>
      </c>
      <c r="Z28" s="353">
        <f>CareBears!Y99</f>
        <v>975923.13</v>
      </c>
      <c r="AA28" s="353">
        <f>CareBears!Z99</f>
        <v>0</v>
      </c>
      <c r="AB28" s="353">
        <f>CareBears!AA99</f>
        <v>0</v>
      </c>
      <c r="AC28" s="341">
        <f t="shared" si="58"/>
        <v>1398549.63</v>
      </c>
      <c r="AD28" s="353">
        <f>CareBears!AC99</f>
        <v>0</v>
      </c>
      <c r="AE28" s="353">
        <f>CareBears!AD99</f>
        <v>0</v>
      </c>
      <c r="AF28" s="353">
        <f>CareBears!AE99</f>
        <v>0</v>
      </c>
      <c r="AG28" s="353">
        <f>CareBears!AF99</f>
        <v>499617.83</v>
      </c>
      <c r="AH28" s="353">
        <f>CareBears!AG99</f>
        <v>0</v>
      </c>
      <c r="AI28" s="353">
        <f>CareBears!AH99</f>
        <v>0</v>
      </c>
      <c r="AJ28" s="353">
        <f>CareBears!AI99</f>
        <v>0</v>
      </c>
      <c r="AK28" s="353">
        <f>CareBears!AJ99</f>
        <v>0</v>
      </c>
      <c r="AL28" s="353">
        <f>CareBears!AK99</f>
        <v>0</v>
      </c>
      <c r="AM28" s="353">
        <f>CareBears!AL99</f>
        <v>499617.83</v>
      </c>
      <c r="AN28" s="353">
        <f>CareBears!AM99</f>
        <v>0</v>
      </c>
      <c r="AO28" s="353">
        <f>CareBears!AN99</f>
        <v>0</v>
      </c>
      <c r="AP28" s="341">
        <f t="shared" si="59"/>
        <v>999235.66</v>
      </c>
      <c r="AQ28" s="353">
        <f>CareBears!AP99</f>
        <v>0</v>
      </c>
      <c r="AR28" s="353">
        <f>CareBears!AQ99</f>
        <v>0</v>
      </c>
      <c r="AS28" s="353">
        <f>CareBears!AR99</f>
        <v>0</v>
      </c>
      <c r="AT28" s="353">
        <f>CareBears!AS99</f>
        <v>523409.15</v>
      </c>
      <c r="AU28" s="353">
        <f>CareBears!AT99</f>
        <v>0</v>
      </c>
      <c r="AV28" s="353">
        <f>CareBears!AU99</f>
        <v>0</v>
      </c>
      <c r="AW28" s="353">
        <f>CareBears!AV99</f>
        <v>0</v>
      </c>
      <c r="AX28" s="353">
        <f>CareBears!AW99</f>
        <v>0</v>
      </c>
      <c r="AY28" s="353">
        <f>CareBears!AX99</f>
        <v>0</v>
      </c>
      <c r="AZ28" s="353">
        <f>CareBears!AY99</f>
        <v>523409.15</v>
      </c>
      <c r="BA28" s="353">
        <f>CareBears!AZ99</f>
        <v>0</v>
      </c>
      <c r="BB28" s="353">
        <f>CareBears!BA99</f>
        <v>0</v>
      </c>
      <c r="BC28" s="341">
        <f t="shared" si="60"/>
        <v>1046818.3</v>
      </c>
      <c r="BD28" s="353">
        <f>CareBears!BC99</f>
        <v>0</v>
      </c>
      <c r="BE28" s="353">
        <f>CareBears!BD99</f>
        <v>0</v>
      </c>
      <c r="BF28" s="353">
        <f>CareBears!BE99</f>
        <v>0</v>
      </c>
      <c r="BG28" s="353">
        <f>CareBears!BF99</f>
        <v>0</v>
      </c>
      <c r="BH28" s="353">
        <f>CareBears!BG99</f>
        <v>0</v>
      </c>
      <c r="BI28" s="353">
        <f>CareBears!BH99</f>
        <v>0</v>
      </c>
      <c r="BJ28" s="353">
        <f>CareBears!BI99</f>
        <v>0</v>
      </c>
      <c r="BK28" s="353">
        <f>CareBears!BJ99</f>
        <v>0</v>
      </c>
      <c r="BL28" s="353">
        <f>CareBears!BK99</f>
        <v>0</v>
      </c>
      <c r="BM28" s="353">
        <f>CareBears!BL99</f>
        <v>0</v>
      </c>
      <c r="BN28" s="353">
        <f>CareBears!BM99</f>
        <v>0</v>
      </c>
      <c r="BO28" s="353">
        <f>CareBears!BN99</f>
        <v>0</v>
      </c>
      <c r="BP28" s="341">
        <f t="shared" si="63"/>
        <v>0</v>
      </c>
      <c r="BQ28" s="341">
        <f t="shared" si="64"/>
        <v>3444603.59</v>
      </c>
      <c r="BR28" s="54"/>
    </row>
    <row r="29" spans="1:70" ht="13.5" customHeight="1">
      <c r="A29" s="4"/>
      <c r="B29" s="162" t="s">
        <v>1048</v>
      </c>
      <c r="C29" s="377"/>
      <c r="D29" s="353">
        <f>Blumhouse!C99</f>
        <v>0</v>
      </c>
      <c r="E29" s="353">
        <f>Blumhouse!D99</f>
        <v>0</v>
      </c>
      <c r="F29" s="353">
        <f>Blumhouse!E99</f>
        <v>0</v>
      </c>
      <c r="G29" s="353">
        <f>Blumhouse!F99</f>
        <v>0</v>
      </c>
      <c r="H29" s="353">
        <f>Blumhouse!G99</f>
        <v>0</v>
      </c>
      <c r="I29" s="353">
        <f>Blumhouse!H99</f>
        <v>0</v>
      </c>
      <c r="J29" s="353">
        <f>Blumhouse!I99</f>
        <v>0</v>
      </c>
      <c r="K29" s="353">
        <f>Blumhouse!J99</f>
        <v>0</v>
      </c>
      <c r="L29" s="353">
        <f>Blumhouse!K99</f>
        <v>0</v>
      </c>
      <c r="M29" s="353">
        <f>Blumhouse!L99</f>
        <v>0</v>
      </c>
      <c r="N29" s="353">
        <f>Blumhouse!M99</f>
        <v>0</v>
      </c>
      <c r="O29" s="353">
        <f>Blumhouse!N99</f>
        <v>0</v>
      </c>
      <c r="P29" s="341">
        <f t="shared" si="57"/>
        <v>0</v>
      </c>
      <c r="Q29" s="353">
        <f>Blumhouse!P99</f>
        <v>0</v>
      </c>
      <c r="R29" s="353">
        <f>Blumhouse!Q99</f>
        <v>0</v>
      </c>
      <c r="S29" s="353">
        <f>Blumhouse!R99</f>
        <v>0</v>
      </c>
      <c r="T29" s="353">
        <f>Blumhouse!S99</f>
        <v>0</v>
      </c>
      <c r="U29" s="353">
        <f>Blumhouse!T99</f>
        <v>0</v>
      </c>
      <c r="V29" s="353">
        <f>Blumhouse!U99</f>
        <v>0</v>
      </c>
      <c r="W29" s="353">
        <f>Blumhouse!V99</f>
        <v>691020.5</v>
      </c>
      <c r="X29" s="353">
        <f>Blumhouse!W99</f>
        <v>0</v>
      </c>
      <c r="Y29" s="353">
        <f>Blumhouse!X99</f>
        <v>0</v>
      </c>
      <c r="Z29" s="353">
        <f>Blumhouse!Y99</f>
        <v>0</v>
      </c>
      <c r="AA29" s="353">
        <f>Blumhouse!Z99</f>
        <v>0</v>
      </c>
      <c r="AB29" s="353">
        <f>Blumhouse!AA99</f>
        <v>0</v>
      </c>
      <c r="AC29" s="341">
        <f t="shared" si="58"/>
        <v>691020.5</v>
      </c>
      <c r="AD29" s="353">
        <f>Blumhouse!AC99</f>
        <v>0</v>
      </c>
      <c r="AE29" s="353">
        <f>Blumhouse!AD99</f>
        <v>0</v>
      </c>
      <c r="AF29" s="353">
        <f>Blumhouse!AE99</f>
        <v>0</v>
      </c>
      <c r="AG29" s="353">
        <f>Blumhouse!AF99</f>
        <v>0</v>
      </c>
      <c r="AH29" s="353">
        <f>Blumhouse!AG99</f>
        <v>0</v>
      </c>
      <c r="AI29" s="353">
        <f>Blumhouse!AH99</f>
        <v>0</v>
      </c>
      <c r="AJ29" s="353">
        <f>Blumhouse!AI99</f>
        <v>529075.9</v>
      </c>
      <c r="AK29" s="353">
        <f>Blumhouse!AJ99</f>
        <v>0</v>
      </c>
      <c r="AL29" s="353">
        <f>Blumhouse!AK99</f>
        <v>0</v>
      </c>
      <c r="AM29" s="353">
        <f>Blumhouse!AL99</f>
        <v>0</v>
      </c>
      <c r="AN29" s="353">
        <f>Blumhouse!AM99</f>
        <v>0</v>
      </c>
      <c r="AO29" s="353">
        <f>Blumhouse!AN99</f>
        <v>0</v>
      </c>
      <c r="AP29" s="341">
        <f t="shared" si="59"/>
        <v>529075.9</v>
      </c>
      <c r="AQ29" s="353">
        <f>Blumhouse!AP99</f>
        <v>0</v>
      </c>
      <c r="AR29" s="353">
        <f>Blumhouse!AQ99</f>
        <v>0</v>
      </c>
      <c r="AS29" s="353">
        <f>Blumhouse!AR99</f>
        <v>0</v>
      </c>
      <c r="AT29" s="353">
        <f>Blumhouse!AS99</f>
        <v>0</v>
      </c>
      <c r="AU29" s="353">
        <f>Blumhouse!AT99</f>
        <v>0</v>
      </c>
      <c r="AV29" s="353">
        <f>Blumhouse!AU99</f>
        <v>0</v>
      </c>
      <c r="AW29" s="353">
        <f>Blumhouse!AV99</f>
        <v>529075.9</v>
      </c>
      <c r="AX29" s="353">
        <f>Blumhouse!AW99</f>
        <v>0</v>
      </c>
      <c r="AY29" s="353">
        <f>Blumhouse!AX99</f>
        <v>0</v>
      </c>
      <c r="AZ29" s="353">
        <f>Blumhouse!AY99</f>
        <v>0</v>
      </c>
      <c r="BA29" s="353">
        <f>Blumhouse!AZ99</f>
        <v>0</v>
      </c>
      <c r="BB29" s="353">
        <f>Blumhouse!BA99</f>
        <v>0</v>
      </c>
      <c r="BC29" s="341">
        <f t="shared" si="60"/>
        <v>529075.9</v>
      </c>
      <c r="BD29" s="353">
        <f>Blumhouse!BC99</f>
        <v>0</v>
      </c>
      <c r="BE29" s="353">
        <f>Blumhouse!BD99</f>
        <v>0</v>
      </c>
      <c r="BF29" s="353">
        <f>Blumhouse!BE99</f>
        <v>0</v>
      </c>
      <c r="BG29" s="353">
        <f>Blumhouse!BF99</f>
        <v>0</v>
      </c>
      <c r="BH29" s="353">
        <f>Blumhouse!BG99</f>
        <v>0</v>
      </c>
      <c r="BI29" s="353">
        <f>Blumhouse!BH99</f>
        <v>0</v>
      </c>
      <c r="BJ29" s="353">
        <f>Blumhouse!BI99</f>
        <v>529075.9</v>
      </c>
      <c r="BK29" s="353">
        <f>Blumhouse!BJ99</f>
        <v>0</v>
      </c>
      <c r="BL29" s="353">
        <f>Blumhouse!BK99</f>
        <v>0</v>
      </c>
      <c r="BM29" s="353">
        <f>Blumhouse!BL99</f>
        <v>0</v>
      </c>
      <c r="BN29" s="353">
        <f>Blumhouse!BM99</f>
        <v>0</v>
      </c>
      <c r="BO29" s="353">
        <f>Blumhouse!BN99</f>
        <v>0</v>
      </c>
      <c r="BP29" s="341">
        <f t="shared" si="63"/>
        <v>529075.9</v>
      </c>
      <c r="BQ29" s="341">
        <f t="shared" si="64"/>
        <v>2278248.1999999997</v>
      </c>
      <c r="BR29" s="54"/>
    </row>
    <row r="30" spans="1:70" ht="13.5" customHeight="1">
      <c r="A30" s="4"/>
      <c r="B30" s="162" t="s">
        <v>1052</v>
      </c>
      <c r="C30" s="377"/>
      <c r="D30" s="353">
        <f>Tatsunoko!C99</f>
        <v>0</v>
      </c>
      <c r="E30" s="353">
        <f>Tatsunoko!D99</f>
        <v>0</v>
      </c>
      <c r="F30" s="353">
        <f>Tatsunoko!E99</f>
        <v>0</v>
      </c>
      <c r="G30" s="353">
        <f>Tatsunoko!F99</f>
        <v>0</v>
      </c>
      <c r="H30" s="353">
        <f>Tatsunoko!G99</f>
        <v>0</v>
      </c>
      <c r="I30" s="353">
        <f>Tatsunoko!H99</f>
        <v>0</v>
      </c>
      <c r="J30" s="353">
        <f>Tatsunoko!I99</f>
        <v>0</v>
      </c>
      <c r="K30" s="353">
        <f>Tatsunoko!J99</f>
        <v>0</v>
      </c>
      <c r="L30" s="353">
        <f>Tatsunoko!K99</f>
        <v>0</v>
      </c>
      <c r="M30" s="353">
        <f>Tatsunoko!L99</f>
        <v>0</v>
      </c>
      <c r="N30" s="353">
        <f>Tatsunoko!M99</f>
        <v>0</v>
      </c>
      <c r="O30" s="353">
        <f>Tatsunoko!N99</f>
        <v>0</v>
      </c>
      <c r="P30" s="341">
        <f t="shared" si="57"/>
        <v>0</v>
      </c>
      <c r="Q30" s="353">
        <f>Tatsunoko!P99</f>
        <v>0</v>
      </c>
      <c r="R30" s="353">
        <f>Tatsunoko!Q99</f>
        <v>0</v>
      </c>
      <c r="S30" s="353">
        <f>Tatsunoko!R99</f>
        <v>0</v>
      </c>
      <c r="T30" s="353">
        <f>Tatsunoko!S99</f>
        <v>0</v>
      </c>
      <c r="U30" s="353">
        <f>Tatsunoko!T99</f>
        <v>0</v>
      </c>
      <c r="V30" s="353">
        <f>Tatsunoko!U99</f>
        <v>0</v>
      </c>
      <c r="W30" s="353">
        <f>Tatsunoko!V99</f>
        <v>793613.85</v>
      </c>
      <c r="X30" s="353">
        <f>Tatsunoko!W99</f>
        <v>0</v>
      </c>
      <c r="Y30" s="353">
        <f>Tatsunoko!X99</f>
        <v>0</v>
      </c>
      <c r="Z30" s="353">
        <f>Tatsunoko!Y99</f>
        <v>0</v>
      </c>
      <c r="AA30" s="353">
        <f>Tatsunoko!Z99</f>
        <v>0</v>
      </c>
      <c r="AB30" s="353">
        <f>Tatsunoko!AA99</f>
        <v>0</v>
      </c>
      <c r="AC30" s="341">
        <f t="shared" si="58"/>
        <v>793613.85</v>
      </c>
      <c r="AD30" s="353">
        <f>Tatsunoko!AC99</f>
        <v>0</v>
      </c>
      <c r="AE30" s="353">
        <f>Tatsunoko!AD99</f>
        <v>0</v>
      </c>
      <c r="AF30" s="353">
        <f>Tatsunoko!AE99</f>
        <v>0</v>
      </c>
      <c r="AG30" s="353">
        <f>Tatsunoko!AF99</f>
        <v>0</v>
      </c>
      <c r="AH30" s="353">
        <f>Tatsunoko!AG99</f>
        <v>0</v>
      </c>
      <c r="AI30" s="353">
        <f>Tatsunoko!AH99</f>
        <v>0</v>
      </c>
      <c r="AJ30" s="353">
        <f>Tatsunoko!AI99</f>
        <v>529075.9</v>
      </c>
      <c r="AK30" s="353">
        <f>Tatsunoko!AJ99</f>
        <v>0</v>
      </c>
      <c r="AL30" s="353">
        <f>Tatsunoko!AK99</f>
        <v>0</v>
      </c>
      <c r="AM30" s="353">
        <f>Tatsunoko!AL99</f>
        <v>0</v>
      </c>
      <c r="AN30" s="353">
        <f>Tatsunoko!AM99</f>
        <v>0</v>
      </c>
      <c r="AO30" s="353">
        <f>Tatsunoko!AN99</f>
        <v>0</v>
      </c>
      <c r="AP30" s="341">
        <f t="shared" si="59"/>
        <v>529075.9</v>
      </c>
      <c r="AQ30" s="353">
        <f>Tatsunoko!AP99</f>
        <v>0</v>
      </c>
      <c r="AR30" s="353">
        <f>Tatsunoko!AQ99</f>
        <v>0</v>
      </c>
      <c r="AS30" s="353">
        <f>Tatsunoko!AR99</f>
        <v>0</v>
      </c>
      <c r="AT30" s="353">
        <f>Tatsunoko!AS99</f>
        <v>0</v>
      </c>
      <c r="AU30" s="353">
        <f>Tatsunoko!AT99</f>
        <v>0</v>
      </c>
      <c r="AV30" s="353">
        <f>Tatsunoko!AU99</f>
        <v>0</v>
      </c>
      <c r="AW30" s="353">
        <f>Tatsunoko!AV99</f>
        <v>529075.9</v>
      </c>
      <c r="AX30" s="353">
        <f>Tatsunoko!AW99</f>
        <v>0</v>
      </c>
      <c r="AY30" s="353">
        <f>Tatsunoko!AX99</f>
        <v>0</v>
      </c>
      <c r="AZ30" s="353">
        <f>Tatsunoko!AY99</f>
        <v>0</v>
      </c>
      <c r="BA30" s="353">
        <f>Tatsunoko!AZ99</f>
        <v>0</v>
      </c>
      <c r="BB30" s="353">
        <f>Tatsunoko!BA99</f>
        <v>0</v>
      </c>
      <c r="BC30" s="341">
        <f t="shared" si="60"/>
        <v>529075.9</v>
      </c>
      <c r="BD30" s="353">
        <f>Tatsunoko!BC99</f>
        <v>0</v>
      </c>
      <c r="BE30" s="353">
        <f>Tatsunoko!BD99</f>
        <v>0</v>
      </c>
      <c r="BF30" s="353">
        <f>Tatsunoko!BE99</f>
        <v>0</v>
      </c>
      <c r="BG30" s="353">
        <f>Tatsunoko!BF99</f>
        <v>0</v>
      </c>
      <c r="BH30" s="353">
        <f>Tatsunoko!BG99</f>
        <v>0</v>
      </c>
      <c r="BI30" s="353">
        <f>Tatsunoko!BH99</f>
        <v>0</v>
      </c>
      <c r="BJ30" s="353">
        <f>Tatsunoko!BI99</f>
        <v>529075.9</v>
      </c>
      <c r="BK30" s="353">
        <f>Tatsunoko!BJ99</f>
        <v>0</v>
      </c>
      <c r="BL30" s="353">
        <f>Tatsunoko!BK99</f>
        <v>0</v>
      </c>
      <c r="BM30" s="353">
        <f>Tatsunoko!BL99</f>
        <v>0</v>
      </c>
      <c r="BN30" s="353">
        <f>Tatsunoko!BM99</f>
        <v>0</v>
      </c>
      <c r="BO30" s="353">
        <f>Tatsunoko!BN99</f>
        <v>0</v>
      </c>
      <c r="BP30" s="341">
        <f t="shared" si="63"/>
        <v>529075.9</v>
      </c>
      <c r="BQ30" s="341">
        <f t="shared" si="64"/>
        <v>2380841.5499999998</v>
      </c>
      <c r="BR30" s="54"/>
    </row>
    <row r="31" spans="1:70" ht="13.5" customHeight="1">
      <c r="A31" s="4"/>
      <c r="B31" s="162" t="s">
        <v>1070</v>
      </c>
      <c r="C31" s="377"/>
      <c r="D31" s="353">
        <f>'PPA MLP'!C99</f>
        <v>0</v>
      </c>
      <c r="E31" s="353">
        <f>'PPA MLP'!D99</f>
        <v>0</v>
      </c>
      <c r="F31" s="353">
        <f>'PPA MLP'!E99</f>
        <v>0</v>
      </c>
      <c r="G31" s="353">
        <f>'PPA MLP'!F99</f>
        <v>0</v>
      </c>
      <c r="H31" s="353">
        <f>'PPA MLP'!G99</f>
        <v>0</v>
      </c>
      <c r="I31" s="353">
        <f>'PPA MLP'!H99</f>
        <v>0</v>
      </c>
      <c r="J31" s="353">
        <f>'PPA MLP'!I99</f>
        <v>0</v>
      </c>
      <c r="K31" s="353">
        <f>'PPA MLP'!J99</f>
        <v>0</v>
      </c>
      <c r="L31" s="353">
        <f>'PPA MLP'!K99</f>
        <v>0</v>
      </c>
      <c r="M31" s="353">
        <f>'PPA MLP'!L99</f>
        <v>0</v>
      </c>
      <c r="N31" s="353">
        <f>'PPA MLP'!M99</f>
        <v>0</v>
      </c>
      <c r="O31" s="353">
        <f>'PPA MLP'!N99</f>
        <v>0</v>
      </c>
      <c r="P31" s="341">
        <f t="shared" ref="P31" si="65">SUM(D31:O31)</f>
        <v>0</v>
      </c>
      <c r="Q31" s="353">
        <f>'PPA MLP'!P99</f>
        <v>0</v>
      </c>
      <c r="R31" s="353">
        <f>'PPA MLP'!Q99</f>
        <v>0</v>
      </c>
      <c r="S31" s="353">
        <f>'PPA MLP'!R99</f>
        <v>0</v>
      </c>
      <c r="T31" s="353">
        <f>'PPA MLP'!S99</f>
        <v>0</v>
      </c>
      <c r="U31" s="353">
        <f>'PPA MLP'!T99</f>
        <v>0</v>
      </c>
      <c r="V31" s="353">
        <f>'PPA MLP'!U99</f>
        <v>0</v>
      </c>
      <c r="W31" s="353">
        <f>'PPA MLP'!V99</f>
        <v>275783.90999999997</v>
      </c>
      <c r="X31" s="353">
        <f>'PPA MLP'!W99</f>
        <v>0</v>
      </c>
      <c r="Y31" s="353">
        <f>'PPA MLP'!X99</f>
        <v>0</v>
      </c>
      <c r="Z31" s="353">
        <f>'PPA MLP'!Y99</f>
        <v>0</v>
      </c>
      <c r="AA31" s="353">
        <f>'PPA MLP'!Z99</f>
        <v>237706.86</v>
      </c>
      <c r="AB31" s="353">
        <f>'PPA MLP'!AA99</f>
        <v>0</v>
      </c>
      <c r="AC31" s="341">
        <f t="shared" ref="AC31" si="66">SUM(Q31:AB31)</f>
        <v>513490.76999999996</v>
      </c>
      <c r="AD31" s="353">
        <f>'PPA MLP'!AC99</f>
        <v>0</v>
      </c>
      <c r="AE31" s="353">
        <f>'PPA MLP'!AD99</f>
        <v>0</v>
      </c>
      <c r="AF31" s="353">
        <f>'PPA MLP'!AE99</f>
        <v>0</v>
      </c>
      <c r="AG31" s="353">
        <f>'PPA MLP'!AF99</f>
        <v>0</v>
      </c>
      <c r="AH31" s="353">
        <f>'PPA MLP'!AG99</f>
        <v>0</v>
      </c>
      <c r="AI31" s="353">
        <f>'PPA MLP'!AH99</f>
        <v>0</v>
      </c>
      <c r="AJ31" s="353">
        <f>'PPA MLP'!AI99</f>
        <v>386097.47</v>
      </c>
      <c r="AK31" s="353">
        <f>'PPA MLP'!AJ99</f>
        <v>0</v>
      </c>
      <c r="AL31" s="353">
        <f>'PPA MLP'!AK99</f>
        <v>0</v>
      </c>
      <c r="AM31" s="353">
        <f>'PPA MLP'!AL99</f>
        <v>0</v>
      </c>
      <c r="AN31" s="353">
        <f>'PPA MLP'!AM99</f>
        <v>332789.61</v>
      </c>
      <c r="AO31" s="353">
        <f>'PPA MLP'!AN99</f>
        <v>0</v>
      </c>
      <c r="AP31" s="341">
        <f t="shared" ref="AP31" si="67">SUM(AD31:AO31)</f>
        <v>718887.08</v>
      </c>
      <c r="AQ31" s="353">
        <f>'PPA MLP'!AP99</f>
        <v>0</v>
      </c>
      <c r="AR31" s="353">
        <f>'PPA MLP'!AQ99</f>
        <v>0</v>
      </c>
      <c r="AS31" s="353">
        <f>'PPA MLP'!AR99</f>
        <v>0</v>
      </c>
      <c r="AT31" s="353">
        <f>'PPA MLP'!AS99</f>
        <v>0</v>
      </c>
      <c r="AU31" s="353">
        <f>'PPA MLP'!AT99</f>
        <v>0</v>
      </c>
      <c r="AV31" s="353">
        <f>'PPA MLP'!AU99</f>
        <v>0</v>
      </c>
      <c r="AW31" s="353">
        <f>'PPA MLP'!AV99</f>
        <v>521313.25</v>
      </c>
      <c r="AX31" s="353">
        <f>'PPA MLP'!AW99</f>
        <v>0</v>
      </c>
      <c r="AY31" s="353">
        <f>'PPA MLP'!AX99</f>
        <v>0</v>
      </c>
      <c r="AZ31" s="353">
        <f>'PPA MLP'!AY99</f>
        <v>0</v>
      </c>
      <c r="BA31" s="353">
        <f>'PPA MLP'!AZ99</f>
        <v>449581.81</v>
      </c>
      <c r="BB31" s="353">
        <f>'PPA MLP'!BA99</f>
        <v>0</v>
      </c>
      <c r="BC31" s="341">
        <f t="shared" ref="BC31" si="68">SUM(AQ31:BB31)</f>
        <v>970895.06</v>
      </c>
      <c r="BD31" s="353">
        <f>'PPA MLP'!BC99</f>
        <v>0</v>
      </c>
      <c r="BE31" s="353">
        <f>'PPA MLP'!BD99</f>
        <v>0</v>
      </c>
      <c r="BF31" s="353">
        <f>'PPA MLP'!BE99</f>
        <v>0</v>
      </c>
      <c r="BG31" s="353">
        <f>'PPA MLP'!BF99</f>
        <v>0</v>
      </c>
      <c r="BH31" s="353">
        <f>'PPA MLP'!BG99</f>
        <v>0</v>
      </c>
      <c r="BI31" s="353">
        <f>'PPA MLP'!BH99</f>
        <v>0</v>
      </c>
      <c r="BJ31" s="353">
        <f>'PPA MLP'!BI99</f>
        <v>677440.73</v>
      </c>
      <c r="BK31" s="353">
        <f>'PPA MLP'!BJ99</f>
        <v>0</v>
      </c>
      <c r="BL31" s="353">
        <f>'PPA MLP'!BK99</f>
        <v>0</v>
      </c>
      <c r="BM31" s="353">
        <f>'PPA MLP'!BL99</f>
        <v>0</v>
      </c>
      <c r="BN31" s="353">
        <f>'PPA MLP'!BM99</f>
        <v>584663.91</v>
      </c>
      <c r="BO31" s="353">
        <f>'PPA MLP'!BN99</f>
        <v>71248.81</v>
      </c>
      <c r="BP31" s="341">
        <f t="shared" ref="BP31" si="69">SUM(BD31:BO31)</f>
        <v>1333353.4500000002</v>
      </c>
      <c r="BQ31" s="341">
        <f t="shared" ref="BQ31" si="70">P31+AC31+AP31+BC31+BP31</f>
        <v>3536626.3600000003</v>
      </c>
      <c r="BR31" s="54"/>
    </row>
    <row r="32" spans="1:70" ht="13.5" customHeight="1">
      <c r="A32" s="4"/>
      <c r="B32" s="162" t="s">
        <v>780</v>
      </c>
      <c r="C32" s="377"/>
      <c r="D32" s="353">
        <v>0</v>
      </c>
      <c r="E32" s="353">
        <v>0</v>
      </c>
      <c r="F32" s="353">
        <v>0</v>
      </c>
      <c r="G32" s="353">
        <v>0</v>
      </c>
      <c r="H32" s="353">
        <v>0</v>
      </c>
      <c r="I32" s="353">
        <v>0</v>
      </c>
      <c r="J32" s="353">
        <v>0</v>
      </c>
      <c r="K32" s="353">
        <v>0</v>
      </c>
      <c r="L32" s="353">
        <v>0</v>
      </c>
      <c r="M32" s="353">
        <v>0</v>
      </c>
      <c r="N32" s="353"/>
      <c r="O32" s="353"/>
      <c r="P32" s="341">
        <f t="shared" si="57"/>
        <v>0</v>
      </c>
      <c r="Q32" s="353">
        <v>0</v>
      </c>
      <c r="R32" s="353">
        <v>0</v>
      </c>
      <c r="S32" s="353">
        <v>0</v>
      </c>
      <c r="T32" s="353">
        <v>0</v>
      </c>
      <c r="U32" s="353">
        <v>0</v>
      </c>
      <c r="V32" s="353">
        <f>-'Pipeline (Projected)'!$J$27/12</f>
        <v>11200</v>
      </c>
      <c r="W32" s="353">
        <f>-'Pipeline (Projected)'!$J$27/12</f>
        <v>11200</v>
      </c>
      <c r="X32" s="353">
        <f>-'Pipeline (Projected)'!$J$27/12</f>
        <v>11200</v>
      </c>
      <c r="Y32" s="353">
        <f>-'Pipeline (Projected)'!$J$27/12</f>
        <v>11200</v>
      </c>
      <c r="Z32" s="353">
        <f>-'Pipeline (Projected)'!$J$28/12</f>
        <v>414400.00000000006</v>
      </c>
      <c r="AA32" s="353">
        <f>-'Pipeline (Projected)'!$J$28/12</f>
        <v>414400.00000000006</v>
      </c>
      <c r="AB32" s="353">
        <f>-'Pipeline (Projected)'!$J$28/12</f>
        <v>414400.00000000006</v>
      </c>
      <c r="AC32" s="341">
        <f t="shared" si="58"/>
        <v>1288000.0000000002</v>
      </c>
      <c r="AD32" s="353">
        <f>-'Pipeline (Projected)'!$J$28/12</f>
        <v>414400.00000000006</v>
      </c>
      <c r="AE32" s="353">
        <f>-'Pipeline (Projected)'!$J$28/12</f>
        <v>414400.00000000006</v>
      </c>
      <c r="AF32" s="353">
        <f>-'Pipeline (Projected)'!$J$28/12</f>
        <v>414400.00000000006</v>
      </c>
      <c r="AG32" s="353">
        <f>-'Pipeline (Projected)'!$J$28/12</f>
        <v>414400.00000000006</v>
      </c>
      <c r="AH32" s="353">
        <f>-'Pipeline (Projected)'!$J$28/12</f>
        <v>414400.00000000006</v>
      </c>
      <c r="AI32" s="353">
        <f>-'Pipeline (Projected)'!$J$28/12</f>
        <v>414400.00000000006</v>
      </c>
      <c r="AJ32" s="353">
        <f>-'Pipeline (Projected)'!$J$28/12</f>
        <v>414400.00000000006</v>
      </c>
      <c r="AK32" s="353">
        <f>-'Pipeline (Projected)'!$J$28/12</f>
        <v>414400.00000000006</v>
      </c>
      <c r="AL32" s="353">
        <f>-'Pipeline (Projected)'!$J$28/12</f>
        <v>414400.00000000006</v>
      </c>
      <c r="AM32" s="353">
        <f>-'Pipeline (Projected)'!$J$29/12</f>
        <v>1097600.0000000002</v>
      </c>
      <c r="AN32" s="353">
        <f>-'Pipeline (Projected)'!$J$29/12</f>
        <v>1097600.0000000002</v>
      </c>
      <c r="AO32" s="353">
        <f>-'Pipeline (Projected)'!$J$29/12</f>
        <v>1097600.0000000002</v>
      </c>
      <c r="AP32" s="341">
        <f t="shared" si="59"/>
        <v>7022400.0000000009</v>
      </c>
      <c r="AQ32" s="353">
        <f>-'Pipeline (Projected)'!$J$29/12</f>
        <v>1097600.0000000002</v>
      </c>
      <c r="AR32" s="353">
        <f>-'Pipeline (Projected)'!$J$29/12</f>
        <v>1097600.0000000002</v>
      </c>
      <c r="AS32" s="353">
        <f>-'Pipeline (Projected)'!$J$29/12</f>
        <v>1097600.0000000002</v>
      </c>
      <c r="AT32" s="353">
        <f>-'Pipeline (Projected)'!$J$29/12</f>
        <v>1097600.0000000002</v>
      </c>
      <c r="AU32" s="353">
        <f>-'Pipeline (Projected)'!$J$29/12</f>
        <v>1097600.0000000002</v>
      </c>
      <c r="AV32" s="353">
        <f>-'Pipeline (Projected)'!$J$29/12</f>
        <v>1097600.0000000002</v>
      </c>
      <c r="AW32" s="353">
        <f>-'Pipeline (Projected)'!$J$29/12</f>
        <v>1097600.0000000002</v>
      </c>
      <c r="AX32" s="353">
        <f>-'Pipeline (Projected)'!$J$29/12</f>
        <v>1097600.0000000002</v>
      </c>
      <c r="AY32" s="353">
        <f>-'Pipeline (Projected)'!$J$29/12</f>
        <v>1097600.0000000002</v>
      </c>
      <c r="AZ32" s="353">
        <f>-'Pipeline (Projected)'!$J$30/12</f>
        <v>1780800.0000000002</v>
      </c>
      <c r="BA32" s="353">
        <f>-'Pipeline (Projected)'!$J$30/12</f>
        <v>1780800.0000000002</v>
      </c>
      <c r="BB32" s="353">
        <f>-'Pipeline (Projected)'!$J$30/12</f>
        <v>1780800.0000000002</v>
      </c>
      <c r="BC32" s="341">
        <f t="shared" si="60"/>
        <v>15220800.000000002</v>
      </c>
      <c r="BD32" s="353">
        <f>-'Pipeline (Projected)'!$J$30/12</f>
        <v>1780800.0000000002</v>
      </c>
      <c r="BE32" s="353">
        <f>-'Pipeline (Projected)'!$J$30/12</f>
        <v>1780800.0000000002</v>
      </c>
      <c r="BF32" s="353">
        <f>-'Pipeline (Projected)'!$J$30/12</f>
        <v>1780800.0000000002</v>
      </c>
      <c r="BG32" s="353">
        <f>-'Pipeline (Projected)'!$J$31/12</f>
        <v>2464000.0000000005</v>
      </c>
      <c r="BH32" s="353">
        <f>-'Pipeline (Projected)'!$J$31/12</f>
        <v>2464000.0000000005</v>
      </c>
      <c r="BI32" s="353">
        <f>-'Pipeline (Projected)'!$J$31/12</f>
        <v>2464000.0000000005</v>
      </c>
      <c r="BJ32" s="353">
        <f>-'Pipeline (Projected)'!$J$31/12</f>
        <v>2464000.0000000005</v>
      </c>
      <c r="BK32" s="353">
        <f>-'Pipeline (Projected)'!$J$31/12</f>
        <v>2464000.0000000005</v>
      </c>
      <c r="BL32" s="353">
        <f>-'Pipeline (Projected)'!$J$31/12</f>
        <v>2464000.0000000005</v>
      </c>
      <c r="BM32" s="353">
        <f>-'Pipeline (Projected)'!$J$31/12</f>
        <v>2464000.0000000005</v>
      </c>
      <c r="BN32" s="353">
        <f>-'Pipeline (Projected)'!$J$31/12</f>
        <v>2464000.0000000005</v>
      </c>
      <c r="BO32" s="353">
        <f>-'Pipeline (Projected)'!$J$31/12</f>
        <v>2464000.0000000005</v>
      </c>
      <c r="BP32" s="341">
        <f t="shared" ref="BP32:BP38" si="71">SUM(BD32:BO32)</f>
        <v>27518400.000000004</v>
      </c>
      <c r="BQ32" s="341">
        <f t="shared" ref="BQ32:BQ38" si="72">P32+AC32+AP32+BC32+BP32</f>
        <v>51049600.000000007</v>
      </c>
      <c r="BR32" s="54"/>
    </row>
    <row r="33" spans="1:70" ht="13.5" customHeight="1">
      <c r="A33" s="4"/>
      <c r="B33" s="162" t="s">
        <v>1156</v>
      </c>
      <c r="C33" s="377"/>
      <c r="D33" s="353">
        <v>0</v>
      </c>
      <c r="E33" s="353">
        <v>0</v>
      </c>
      <c r="F33" s="353">
        <v>0</v>
      </c>
      <c r="G33" s="353">
        <v>0</v>
      </c>
      <c r="H33" s="353">
        <v>0</v>
      </c>
      <c r="I33" s="353">
        <v>0</v>
      </c>
      <c r="J33" s="353">
        <v>0</v>
      </c>
      <c r="K33" s="353">
        <v>0</v>
      </c>
      <c r="L33" s="353">
        <v>0</v>
      </c>
      <c r="M33" s="353">
        <v>0</v>
      </c>
      <c r="N33" s="353"/>
      <c r="O33" s="353"/>
      <c r="P33" s="341">
        <f t="shared" ref="P33" si="73">SUM(D33:O33)</f>
        <v>0</v>
      </c>
      <c r="Q33" s="353">
        <v>0</v>
      </c>
      <c r="R33" s="353">
        <v>0</v>
      </c>
      <c r="S33" s="353">
        <v>0</v>
      </c>
      <c r="T33" s="353">
        <f>Frequency!$J$14/12</f>
        <v>2756.25</v>
      </c>
      <c r="U33" s="353">
        <f>Frequency!$J$14/12</f>
        <v>2756.25</v>
      </c>
      <c r="V33" s="353">
        <f>Frequency!$J$14/12</f>
        <v>2756.25</v>
      </c>
      <c r="W33" s="353">
        <f>Frequency!$J$14/12</f>
        <v>2756.25</v>
      </c>
      <c r="X33" s="353">
        <f>Frequency!$J$14/12</f>
        <v>2756.25</v>
      </c>
      <c r="Y33" s="353">
        <f>Frequency!$J$14/12</f>
        <v>2756.25</v>
      </c>
      <c r="Z33" s="353">
        <f>Frequency!$J$14/12</f>
        <v>2756.25</v>
      </c>
      <c r="AA33" s="353">
        <f>Frequency!$J$14/12</f>
        <v>2756.25</v>
      </c>
      <c r="AB33" s="353">
        <f>Frequency!$J$14/12</f>
        <v>2756.25</v>
      </c>
      <c r="AC33" s="341">
        <f t="shared" ref="AC33" si="74">SUM(Q33:AB33)</f>
        <v>24806.25</v>
      </c>
      <c r="AD33" s="353">
        <f>Frequency!$J$14/12</f>
        <v>2756.25</v>
      </c>
      <c r="AE33" s="353">
        <f>Frequency!$J$14/12</f>
        <v>2756.25</v>
      </c>
      <c r="AF33" s="353">
        <f>Frequency!$J$14/12</f>
        <v>2756.25</v>
      </c>
      <c r="AG33" s="353">
        <f>Frequency!$J$24/12</f>
        <v>6615</v>
      </c>
      <c r="AH33" s="353">
        <f>Frequency!$J$24/12</f>
        <v>6615</v>
      </c>
      <c r="AI33" s="353">
        <f>Frequency!$J$24/12</f>
        <v>6615</v>
      </c>
      <c r="AJ33" s="353">
        <f>Frequency!$J$24/12</f>
        <v>6615</v>
      </c>
      <c r="AK33" s="353">
        <f>Frequency!$J$24/12</f>
        <v>6615</v>
      </c>
      <c r="AL33" s="353">
        <f>Frequency!$J$24/12</f>
        <v>6615</v>
      </c>
      <c r="AM33" s="353">
        <f>Frequency!$J$24/12</f>
        <v>6615</v>
      </c>
      <c r="AN33" s="353">
        <f>Frequency!$J$24/12</f>
        <v>6615</v>
      </c>
      <c r="AO33" s="353">
        <f>Frequency!$J$24/12</f>
        <v>6615</v>
      </c>
      <c r="AP33" s="341">
        <f t="shared" ref="AP33" si="75">SUM(AD33:AO33)</f>
        <v>67803.75</v>
      </c>
      <c r="AQ33" s="353">
        <f>Frequency!$J$24/12</f>
        <v>6615</v>
      </c>
      <c r="AR33" s="353">
        <f>Frequency!$J$24/12</f>
        <v>6615</v>
      </c>
      <c r="AS33" s="353">
        <f>Frequency!$J$24/12</f>
        <v>6615</v>
      </c>
      <c r="AT33" s="353">
        <f>Frequency!$J$34/12</f>
        <v>11907</v>
      </c>
      <c r="AU33" s="353">
        <f>Frequency!$J$34/12</f>
        <v>11907</v>
      </c>
      <c r="AV33" s="353">
        <f>Frequency!$J$34/12</f>
        <v>11907</v>
      </c>
      <c r="AW33" s="353">
        <f>Frequency!$J$34/12</f>
        <v>11907</v>
      </c>
      <c r="AX33" s="353">
        <f>Frequency!$J$34/12</f>
        <v>11907</v>
      </c>
      <c r="AY33" s="353">
        <f>Frequency!$J$34/12</f>
        <v>11907</v>
      </c>
      <c r="AZ33" s="353">
        <f>Frequency!$J$34/12</f>
        <v>11907</v>
      </c>
      <c r="BA33" s="353">
        <f>Frequency!$J$34/12</f>
        <v>11907</v>
      </c>
      <c r="BB33" s="353">
        <f>Frequency!$J$34/12</f>
        <v>11907</v>
      </c>
      <c r="BC33" s="341">
        <f t="shared" ref="BC33" si="76">SUM(AQ33:BB33)</f>
        <v>127008</v>
      </c>
      <c r="BD33" s="353">
        <f>Frequency!$J$34/12</f>
        <v>11907</v>
      </c>
      <c r="BE33" s="353">
        <f>Frequency!$J$34/12</f>
        <v>11907</v>
      </c>
      <c r="BF33" s="353">
        <f>Frequency!$J$34/12</f>
        <v>11907</v>
      </c>
      <c r="BG33" s="353">
        <f>Frequency!$J$34/12</f>
        <v>11907</v>
      </c>
      <c r="BH33" s="353">
        <f>Frequency!$J$34/12</f>
        <v>11907</v>
      </c>
      <c r="BI33" s="353">
        <f>Frequency!$J$34/12</f>
        <v>11907</v>
      </c>
      <c r="BJ33" s="353">
        <f>Frequency!$J$34/12</f>
        <v>11907</v>
      </c>
      <c r="BK33" s="353">
        <f>Frequency!$J$34/12</f>
        <v>11907</v>
      </c>
      <c r="BL33" s="353">
        <f>Frequency!$J$34/12</f>
        <v>11907</v>
      </c>
      <c r="BM33" s="353">
        <f>Frequency!$J$34/12</f>
        <v>11907</v>
      </c>
      <c r="BN33" s="353">
        <f>Frequency!$J$34/12</f>
        <v>11907</v>
      </c>
      <c r="BO33" s="353">
        <f>Frequency!$J$34/12</f>
        <v>11907</v>
      </c>
      <c r="BP33" s="341">
        <f t="shared" ref="BP33" si="77">SUM(BD33:BO33)</f>
        <v>142884</v>
      </c>
      <c r="BQ33" s="341">
        <f t="shared" ref="BQ33" si="78">P33+AC33+AP33+BC33+BP33</f>
        <v>362502</v>
      </c>
      <c r="BR33" s="54"/>
    </row>
    <row r="34" spans="1:70" ht="13.5" customHeight="1">
      <c r="A34" s="447"/>
      <c r="B34" s="388" t="s">
        <v>718</v>
      </c>
      <c r="C34" s="446"/>
      <c r="D34" s="353">
        <f>BKFC!C100</f>
        <v>0</v>
      </c>
      <c r="E34" s="353">
        <f>BKFC!D100</f>
        <v>0</v>
      </c>
      <c r="F34" s="353">
        <f>BKFC!E100</f>
        <v>0</v>
      </c>
      <c r="G34" s="353">
        <f>BKFC!F100</f>
        <v>0</v>
      </c>
      <c r="H34" s="353">
        <f>BKFC!G100</f>
        <v>0</v>
      </c>
      <c r="I34" s="353">
        <f>BKFC!H100</f>
        <v>0</v>
      </c>
      <c r="J34" s="353">
        <f>BKFC!I100</f>
        <v>0</v>
      </c>
      <c r="K34" s="353">
        <f>BKFC!J100</f>
        <v>0</v>
      </c>
      <c r="L34" s="353">
        <f>BKFC!K100</f>
        <v>0</v>
      </c>
      <c r="M34" s="353">
        <f>BKFC!L100</f>
        <v>0</v>
      </c>
      <c r="N34" s="353">
        <f>BKFC!M100</f>
        <v>0</v>
      </c>
      <c r="O34" s="353">
        <f>BKFC!N100</f>
        <v>29586.23</v>
      </c>
      <c r="P34" s="341">
        <f t="shared" ref="P34:P38" si="79">SUM(D34:O34)</f>
        <v>29586.23</v>
      </c>
      <c r="Q34" s="353">
        <f>BKFC!P100</f>
        <v>0</v>
      </c>
      <c r="R34" s="353">
        <f>BKFC!Q100</f>
        <v>91664.730500000005</v>
      </c>
      <c r="S34" s="353">
        <f>BKFC!R100</f>
        <v>0</v>
      </c>
      <c r="T34" s="353">
        <f>BKFC!S100</f>
        <v>5699.9049999999997</v>
      </c>
      <c r="U34" s="353">
        <f>BKFC!T100</f>
        <v>0</v>
      </c>
      <c r="V34" s="353">
        <f>BKFC!U100</f>
        <v>0</v>
      </c>
      <c r="W34" s="353">
        <f>BKFC!V100</f>
        <v>38638.2575</v>
      </c>
      <c r="X34" s="353">
        <f>BKFC!W100</f>
        <v>0</v>
      </c>
      <c r="Y34" s="353">
        <f>BKFC!X100</f>
        <v>0</v>
      </c>
      <c r="Z34" s="353">
        <f>BKFC!Y100</f>
        <v>125861.83300000001</v>
      </c>
      <c r="AA34" s="353">
        <f>BKFC!Z100</f>
        <v>0</v>
      </c>
      <c r="AB34" s="353">
        <f>BKFC!AA100</f>
        <v>0</v>
      </c>
      <c r="AC34" s="341">
        <f t="shared" si="58"/>
        <v>261864.72600000002</v>
      </c>
      <c r="AD34" s="353">
        <f>BKFC!AC100</f>
        <v>5699.9049999999997</v>
      </c>
      <c r="AE34" s="353">
        <f>BKFC!AD100</f>
        <v>0</v>
      </c>
      <c r="AF34" s="353">
        <f>BKFC!AE100</f>
        <v>0</v>
      </c>
      <c r="AG34" s="353">
        <f>BKFC!AF100</f>
        <v>0</v>
      </c>
      <c r="AH34" s="353">
        <f>BKFC!AG100</f>
        <v>0</v>
      </c>
      <c r="AI34" s="353">
        <f>BKFC!AH100</f>
        <v>0</v>
      </c>
      <c r="AJ34" s="353">
        <f>BKFC!AI100</f>
        <v>57031.4925</v>
      </c>
      <c r="AK34" s="353">
        <f>BKFC!AJ100</f>
        <v>0</v>
      </c>
      <c r="AL34" s="353">
        <f>BKFC!AK100</f>
        <v>0</v>
      </c>
      <c r="AM34" s="353">
        <f>BKFC!AL100</f>
        <v>174495.1355</v>
      </c>
      <c r="AN34" s="353">
        <f>BKFC!AM100</f>
        <v>0</v>
      </c>
      <c r="AO34" s="353">
        <f>BKFC!AN100</f>
        <v>0</v>
      </c>
      <c r="AP34" s="341">
        <f t="shared" si="59"/>
        <v>237226.533</v>
      </c>
      <c r="AQ34" s="353">
        <f>BKFC!AP100</f>
        <v>7979.8669999999993</v>
      </c>
      <c r="AR34" s="353">
        <f>BKFC!AQ100</f>
        <v>0</v>
      </c>
      <c r="AS34" s="353">
        <f>BKFC!AR100</f>
        <v>0</v>
      </c>
      <c r="AT34" s="353">
        <f>BKFC!AS100</f>
        <v>0</v>
      </c>
      <c r="AU34" s="353">
        <f>BKFC!AT100</f>
        <v>0</v>
      </c>
      <c r="AV34" s="353">
        <f>BKFC!AU100</f>
        <v>0</v>
      </c>
      <c r="AW34" s="353">
        <f>BKFC!AV100</f>
        <v>69597.902499999997</v>
      </c>
      <c r="AX34" s="353">
        <f>BKFC!AW100</f>
        <v>0</v>
      </c>
      <c r="AY34" s="353">
        <f>BKFC!AX100</f>
        <v>0</v>
      </c>
      <c r="AZ34" s="353">
        <f>BKFC!AY100</f>
        <v>205175.67050000001</v>
      </c>
      <c r="BA34" s="353">
        <f>BKFC!AZ100</f>
        <v>0</v>
      </c>
      <c r="BB34" s="353">
        <f>BKFC!BA100</f>
        <v>0</v>
      </c>
      <c r="BC34" s="341">
        <f t="shared" ref="BC34:BC38" si="80">SUM(AQ34:BB34)</f>
        <v>282753.44</v>
      </c>
      <c r="BD34" s="353">
        <f>BKFC!BC100</f>
        <v>11399.81</v>
      </c>
      <c r="BE34" s="353">
        <f>BKFC!BD100</f>
        <v>0</v>
      </c>
      <c r="BF34" s="353">
        <f>BKFC!BE100</f>
        <v>0</v>
      </c>
      <c r="BG34" s="353">
        <f>BKFC!BF100</f>
        <v>0</v>
      </c>
      <c r="BH34" s="353">
        <f>BKFC!BG100</f>
        <v>0</v>
      </c>
      <c r="BI34" s="353">
        <f>BKFC!BH100</f>
        <v>0</v>
      </c>
      <c r="BJ34" s="353">
        <f>BKFC!BI100</f>
        <v>82164.3125</v>
      </c>
      <c r="BK34" s="353">
        <f>BKFC!BJ100</f>
        <v>0</v>
      </c>
      <c r="BL34" s="353">
        <f>BKFC!BK100</f>
        <v>0</v>
      </c>
      <c r="BM34" s="353">
        <f>BKFC!BL100</f>
        <v>252955.5405</v>
      </c>
      <c r="BN34" s="353">
        <f>BKFC!BM100</f>
        <v>0</v>
      </c>
      <c r="BO34" s="353">
        <f>BKFC!BN100</f>
        <v>14249.762500000001</v>
      </c>
      <c r="BP34" s="341">
        <f t="shared" si="71"/>
        <v>360769.42550000001</v>
      </c>
      <c r="BQ34" s="341">
        <f t="shared" si="72"/>
        <v>1172200.3544999999</v>
      </c>
      <c r="BR34" s="54"/>
    </row>
    <row r="35" spans="1:70" ht="13.5" customHeight="1">
      <c r="A35" s="447"/>
      <c r="B35" s="162" t="s">
        <v>1036</v>
      </c>
      <c r="C35" s="446"/>
      <c r="D35" s="353">
        <f>Ted!C100</f>
        <v>0</v>
      </c>
      <c r="E35" s="353">
        <f>Ted!D100</f>
        <v>0</v>
      </c>
      <c r="F35" s="353">
        <f>Ted!E100</f>
        <v>0</v>
      </c>
      <c r="G35" s="353">
        <f>Ted!F100</f>
        <v>0</v>
      </c>
      <c r="H35" s="353">
        <f>Ted!G100</f>
        <v>0</v>
      </c>
      <c r="I35" s="353">
        <f>Ted!H100</f>
        <v>0</v>
      </c>
      <c r="J35" s="353">
        <f>Ted!I100</f>
        <v>0</v>
      </c>
      <c r="K35" s="353">
        <f>Ted!J100</f>
        <v>0</v>
      </c>
      <c r="L35" s="353">
        <f>Ted!K100</f>
        <v>0</v>
      </c>
      <c r="M35" s="353">
        <f>Ted!L100</f>
        <v>0</v>
      </c>
      <c r="N35" s="353">
        <f>Ted!M100</f>
        <v>0</v>
      </c>
      <c r="O35" s="353">
        <f>Ted!N100</f>
        <v>0</v>
      </c>
      <c r="P35" s="341">
        <f t="shared" si="79"/>
        <v>0</v>
      </c>
      <c r="Q35" s="353">
        <f>Ted!P100</f>
        <v>0</v>
      </c>
      <c r="R35" s="353">
        <f>Ted!Q100</f>
        <v>0</v>
      </c>
      <c r="S35" s="353">
        <f>Ted!R100</f>
        <v>0</v>
      </c>
      <c r="T35" s="353">
        <f>Ted!S100</f>
        <v>0</v>
      </c>
      <c r="U35" s="353">
        <f>Ted!T100</f>
        <v>0</v>
      </c>
      <c r="V35" s="353">
        <f>Ted!U100</f>
        <v>0</v>
      </c>
      <c r="W35" s="353">
        <f>Ted!V100</f>
        <v>22584.73</v>
      </c>
      <c r="X35" s="353">
        <f>Ted!W100</f>
        <v>0</v>
      </c>
      <c r="Y35" s="353">
        <f>Ted!X100</f>
        <v>0</v>
      </c>
      <c r="Z35" s="353">
        <f>Ted!Y100</f>
        <v>0</v>
      </c>
      <c r="AA35" s="353">
        <f>Ted!Z100</f>
        <v>0</v>
      </c>
      <c r="AB35" s="353">
        <f>Ted!AA100</f>
        <v>0</v>
      </c>
      <c r="AC35" s="341">
        <f t="shared" si="58"/>
        <v>22584.73</v>
      </c>
      <c r="AD35" s="353">
        <f>Ted!AC100</f>
        <v>0</v>
      </c>
      <c r="AE35" s="353">
        <f>Ted!AD100</f>
        <v>0</v>
      </c>
      <c r="AF35" s="353">
        <f>Ted!AE100</f>
        <v>0</v>
      </c>
      <c r="AG35" s="353">
        <f>Ted!AF100</f>
        <v>0</v>
      </c>
      <c r="AH35" s="353">
        <f>Ted!AG100</f>
        <v>0</v>
      </c>
      <c r="AI35" s="353">
        <f>Ted!AH100</f>
        <v>0</v>
      </c>
      <c r="AJ35" s="353">
        <f>Ted!AI100</f>
        <v>32392.862499999999</v>
      </c>
      <c r="AK35" s="353">
        <f>Ted!AJ100</f>
        <v>0</v>
      </c>
      <c r="AL35" s="353">
        <f>Ted!AK100</f>
        <v>0</v>
      </c>
      <c r="AM35" s="353">
        <f>Ted!AL100</f>
        <v>0</v>
      </c>
      <c r="AN35" s="353">
        <f>Ted!AM100</f>
        <v>0</v>
      </c>
      <c r="AO35" s="353">
        <f>Ted!AN100</f>
        <v>0</v>
      </c>
      <c r="AP35" s="341">
        <f t="shared" si="59"/>
        <v>32392.862499999999</v>
      </c>
      <c r="AQ35" s="353">
        <f>Ted!AP100</f>
        <v>0</v>
      </c>
      <c r="AR35" s="353">
        <f>Ted!AQ100</f>
        <v>0</v>
      </c>
      <c r="AS35" s="353">
        <f>Ted!AR100</f>
        <v>0</v>
      </c>
      <c r="AT35" s="353">
        <f>Ted!AS100</f>
        <v>0</v>
      </c>
      <c r="AU35" s="353">
        <f>Ted!AT100</f>
        <v>0</v>
      </c>
      <c r="AV35" s="353">
        <f>Ted!AU100</f>
        <v>0</v>
      </c>
      <c r="AW35" s="353">
        <f>Ted!AV100</f>
        <v>42200.995000000003</v>
      </c>
      <c r="AX35" s="353">
        <f>Ted!AW100</f>
        <v>0</v>
      </c>
      <c r="AY35" s="353">
        <f>Ted!AX100</f>
        <v>0</v>
      </c>
      <c r="AZ35" s="353">
        <f>Ted!AY100</f>
        <v>0</v>
      </c>
      <c r="BA35" s="353">
        <f>Ted!AZ100</f>
        <v>0</v>
      </c>
      <c r="BB35" s="353">
        <f>Ted!BA100</f>
        <v>0</v>
      </c>
      <c r="BC35" s="341">
        <f t="shared" si="80"/>
        <v>42200.995000000003</v>
      </c>
      <c r="BD35" s="353">
        <f>Ted!BC100</f>
        <v>0</v>
      </c>
      <c r="BE35" s="353">
        <f>Ted!BD100</f>
        <v>0</v>
      </c>
      <c r="BF35" s="353">
        <f>Ted!BE100</f>
        <v>0</v>
      </c>
      <c r="BG35" s="353">
        <f>Ted!BF100</f>
        <v>0</v>
      </c>
      <c r="BH35" s="353">
        <f>Ted!BG100</f>
        <v>0</v>
      </c>
      <c r="BI35" s="353">
        <f>Ted!BH100</f>
        <v>0</v>
      </c>
      <c r="BJ35" s="353">
        <f>Ted!BI100</f>
        <v>52009.127500000002</v>
      </c>
      <c r="BK35" s="353">
        <f>Ted!BJ100</f>
        <v>0</v>
      </c>
      <c r="BL35" s="353">
        <f>Ted!BK100</f>
        <v>0</v>
      </c>
      <c r="BM35" s="353">
        <f>Ted!BL100</f>
        <v>0</v>
      </c>
      <c r="BN35" s="353">
        <f>Ted!BM100</f>
        <v>0</v>
      </c>
      <c r="BO35" s="353">
        <f>Ted!BN100</f>
        <v>0</v>
      </c>
      <c r="BP35" s="341">
        <f t="shared" si="71"/>
        <v>52009.127500000002</v>
      </c>
      <c r="BQ35" s="341">
        <f t="shared" si="72"/>
        <v>149187.715</v>
      </c>
      <c r="BR35" s="54"/>
    </row>
    <row r="36" spans="1:70" ht="13.5" customHeight="1">
      <c r="A36" s="447"/>
      <c r="B36" s="162" t="s">
        <v>1037</v>
      </c>
      <c r="C36" s="446"/>
      <c r="D36" s="353">
        <f>CareBears!C100</f>
        <v>0</v>
      </c>
      <c r="E36" s="353">
        <f>CareBears!D100</f>
        <v>0</v>
      </c>
      <c r="F36" s="353">
        <f>CareBears!E100</f>
        <v>0</v>
      </c>
      <c r="G36" s="353">
        <f>CareBears!F100</f>
        <v>0</v>
      </c>
      <c r="H36" s="353">
        <f>CareBears!G100</f>
        <v>0</v>
      </c>
      <c r="I36" s="353">
        <f>CareBears!H100</f>
        <v>0</v>
      </c>
      <c r="J36" s="353">
        <f>CareBears!I100</f>
        <v>0</v>
      </c>
      <c r="K36" s="353">
        <f>CareBears!J100</f>
        <v>0</v>
      </c>
      <c r="L36" s="353">
        <f>CareBears!K100</f>
        <v>0</v>
      </c>
      <c r="M36" s="353">
        <f>CareBears!L100</f>
        <v>0</v>
      </c>
      <c r="N36" s="353">
        <f>CareBears!M100</f>
        <v>0</v>
      </c>
      <c r="O36" s="353">
        <f>CareBears!N100</f>
        <v>0</v>
      </c>
      <c r="P36" s="341">
        <f t="shared" si="79"/>
        <v>0</v>
      </c>
      <c r="Q36" s="353">
        <f>CareBears!P100</f>
        <v>0</v>
      </c>
      <c r="R36" s="353">
        <f>CareBears!Q100</f>
        <v>0</v>
      </c>
      <c r="S36" s="353">
        <f>CareBears!R100</f>
        <v>0</v>
      </c>
      <c r="T36" s="353">
        <f>CareBears!S100</f>
        <v>8452.5300000000007</v>
      </c>
      <c r="U36" s="353">
        <f>CareBears!T100</f>
        <v>0</v>
      </c>
      <c r="V36" s="353">
        <f>CareBears!U100</f>
        <v>0</v>
      </c>
      <c r="W36" s="353">
        <f>CareBears!V100</f>
        <v>0</v>
      </c>
      <c r="X36" s="353">
        <f>CareBears!W100</f>
        <v>0</v>
      </c>
      <c r="Y36" s="353">
        <f>CareBears!X100</f>
        <v>0</v>
      </c>
      <c r="Z36" s="353">
        <f>CareBears!Y100</f>
        <v>19518.462500000001</v>
      </c>
      <c r="AA36" s="353">
        <f>CareBears!Z100</f>
        <v>0</v>
      </c>
      <c r="AB36" s="353">
        <f>CareBears!AA100</f>
        <v>0</v>
      </c>
      <c r="AC36" s="341">
        <f t="shared" si="58"/>
        <v>27970.9925</v>
      </c>
      <c r="AD36" s="353">
        <f>CareBears!AC100</f>
        <v>0</v>
      </c>
      <c r="AE36" s="353">
        <f>CareBears!AD100</f>
        <v>0</v>
      </c>
      <c r="AF36" s="353">
        <f>CareBears!AE100</f>
        <v>0</v>
      </c>
      <c r="AG36" s="353">
        <f>CareBears!AF100</f>
        <v>9992.3564999999999</v>
      </c>
      <c r="AH36" s="353">
        <f>CareBears!AG100</f>
        <v>0</v>
      </c>
      <c r="AI36" s="353">
        <f>CareBears!AH100</f>
        <v>0</v>
      </c>
      <c r="AJ36" s="353">
        <f>CareBears!AI100</f>
        <v>0</v>
      </c>
      <c r="AK36" s="353">
        <f>CareBears!AJ100</f>
        <v>0</v>
      </c>
      <c r="AL36" s="353">
        <f>CareBears!AK100</f>
        <v>0</v>
      </c>
      <c r="AM36" s="353">
        <f>CareBears!AL100</f>
        <v>9992.3564999999999</v>
      </c>
      <c r="AN36" s="353">
        <f>CareBears!AM100</f>
        <v>0</v>
      </c>
      <c r="AO36" s="353">
        <f>CareBears!AN100</f>
        <v>0</v>
      </c>
      <c r="AP36" s="341">
        <f t="shared" si="59"/>
        <v>19984.713</v>
      </c>
      <c r="AQ36" s="353">
        <f>CareBears!AP100</f>
        <v>0</v>
      </c>
      <c r="AR36" s="353">
        <f>CareBears!AQ100</f>
        <v>0</v>
      </c>
      <c r="AS36" s="353">
        <f>CareBears!AR100</f>
        <v>0</v>
      </c>
      <c r="AT36" s="353">
        <f>CareBears!AS100</f>
        <v>10468.183000000001</v>
      </c>
      <c r="AU36" s="353">
        <f>CareBears!AT100</f>
        <v>0</v>
      </c>
      <c r="AV36" s="353">
        <f>CareBears!AU100</f>
        <v>0</v>
      </c>
      <c r="AW36" s="353">
        <f>CareBears!AV100</f>
        <v>0</v>
      </c>
      <c r="AX36" s="353">
        <f>CareBears!AW100</f>
        <v>0</v>
      </c>
      <c r="AY36" s="353">
        <f>CareBears!AX100</f>
        <v>0</v>
      </c>
      <c r="AZ36" s="353">
        <f>CareBears!AY100</f>
        <v>10468.183000000001</v>
      </c>
      <c r="BA36" s="353">
        <f>CareBears!AZ100</f>
        <v>0</v>
      </c>
      <c r="BB36" s="353">
        <f>CareBears!BA100</f>
        <v>0</v>
      </c>
      <c r="BC36" s="341">
        <f t="shared" si="80"/>
        <v>20936.366000000002</v>
      </c>
      <c r="BD36" s="353">
        <f>CareBears!BC100</f>
        <v>0</v>
      </c>
      <c r="BE36" s="353">
        <f>CareBears!BD100</f>
        <v>0</v>
      </c>
      <c r="BF36" s="353">
        <f>CareBears!BE100</f>
        <v>0</v>
      </c>
      <c r="BG36" s="353">
        <f>CareBears!BF100</f>
        <v>0</v>
      </c>
      <c r="BH36" s="353">
        <f>CareBears!BG100</f>
        <v>0</v>
      </c>
      <c r="BI36" s="353">
        <f>CareBears!BH100</f>
        <v>0</v>
      </c>
      <c r="BJ36" s="353">
        <f>CareBears!BI100</f>
        <v>0</v>
      </c>
      <c r="BK36" s="353">
        <f>CareBears!BJ100</f>
        <v>0</v>
      </c>
      <c r="BL36" s="353">
        <f>CareBears!BK100</f>
        <v>0</v>
      </c>
      <c r="BM36" s="353">
        <f>CareBears!BL100</f>
        <v>0</v>
      </c>
      <c r="BN36" s="353">
        <f>CareBears!BM100</f>
        <v>0</v>
      </c>
      <c r="BO36" s="353">
        <f>CareBears!BN100</f>
        <v>0</v>
      </c>
      <c r="BP36" s="341">
        <f t="shared" si="71"/>
        <v>0</v>
      </c>
      <c r="BQ36" s="341">
        <f t="shared" si="72"/>
        <v>68892.071499999991</v>
      </c>
      <c r="BR36" s="54"/>
    </row>
    <row r="37" spans="1:70" ht="13.5" customHeight="1">
      <c r="A37" s="447"/>
      <c r="B37" s="162" t="s">
        <v>1049</v>
      </c>
      <c r="C37" s="446"/>
      <c r="D37" s="353">
        <f>Blumhouse!C100</f>
        <v>0</v>
      </c>
      <c r="E37" s="353">
        <f>Blumhouse!D100</f>
        <v>0</v>
      </c>
      <c r="F37" s="353">
        <f>Blumhouse!E100</f>
        <v>0</v>
      </c>
      <c r="G37" s="353">
        <f>Blumhouse!F100</f>
        <v>0</v>
      </c>
      <c r="H37" s="353">
        <f>Blumhouse!G100</f>
        <v>0</v>
      </c>
      <c r="I37" s="353">
        <f>Blumhouse!H100</f>
        <v>0</v>
      </c>
      <c r="J37" s="353">
        <f>Blumhouse!I100</f>
        <v>0</v>
      </c>
      <c r="K37" s="353">
        <f>Blumhouse!J100</f>
        <v>0</v>
      </c>
      <c r="L37" s="353">
        <f>Blumhouse!K100</f>
        <v>0</v>
      </c>
      <c r="M37" s="353">
        <f>Blumhouse!L100</f>
        <v>0</v>
      </c>
      <c r="N37" s="353">
        <f>Blumhouse!M100</f>
        <v>0</v>
      </c>
      <c r="O37" s="353">
        <f>Blumhouse!N100</f>
        <v>0</v>
      </c>
      <c r="P37" s="341">
        <f t="shared" si="79"/>
        <v>0</v>
      </c>
      <c r="Q37" s="353">
        <f>Blumhouse!P100</f>
        <v>0</v>
      </c>
      <c r="R37" s="353">
        <f>Blumhouse!Q100</f>
        <v>0</v>
      </c>
      <c r="S37" s="353">
        <f>Blumhouse!R100</f>
        <v>0</v>
      </c>
      <c r="T37" s="353">
        <f>Blumhouse!S100</f>
        <v>0</v>
      </c>
      <c r="U37" s="353">
        <f>Blumhouse!T100</f>
        <v>0</v>
      </c>
      <c r="V37" s="353">
        <f>Blumhouse!U100</f>
        <v>0</v>
      </c>
      <c r="W37" s="353">
        <f>Blumhouse!V100</f>
        <v>13820.41</v>
      </c>
      <c r="X37" s="353">
        <f>Blumhouse!W100</f>
        <v>0</v>
      </c>
      <c r="Y37" s="353">
        <f>Blumhouse!X100</f>
        <v>0</v>
      </c>
      <c r="Z37" s="353">
        <f>Blumhouse!Y100</f>
        <v>0</v>
      </c>
      <c r="AA37" s="353">
        <f>Blumhouse!Z100</f>
        <v>0</v>
      </c>
      <c r="AB37" s="353">
        <f>Blumhouse!AA100</f>
        <v>0</v>
      </c>
      <c r="AC37" s="341">
        <f t="shared" si="58"/>
        <v>13820.41</v>
      </c>
      <c r="AD37" s="353">
        <f>Blumhouse!AC100</f>
        <v>0</v>
      </c>
      <c r="AE37" s="353">
        <f>Blumhouse!AD100</f>
        <v>0</v>
      </c>
      <c r="AF37" s="353">
        <f>Blumhouse!AE100</f>
        <v>0</v>
      </c>
      <c r="AG37" s="353">
        <f>Blumhouse!AF100</f>
        <v>0</v>
      </c>
      <c r="AH37" s="353">
        <f>Blumhouse!AG100</f>
        <v>0</v>
      </c>
      <c r="AI37" s="353">
        <f>Blumhouse!AH100</f>
        <v>0</v>
      </c>
      <c r="AJ37" s="353">
        <f>Blumhouse!AI100</f>
        <v>10581.518</v>
      </c>
      <c r="AK37" s="353">
        <f>Blumhouse!AJ100</f>
        <v>0</v>
      </c>
      <c r="AL37" s="353">
        <f>Blumhouse!AK100</f>
        <v>0</v>
      </c>
      <c r="AM37" s="353">
        <f>Blumhouse!AL100</f>
        <v>0</v>
      </c>
      <c r="AN37" s="353">
        <f>Blumhouse!AM100</f>
        <v>0</v>
      </c>
      <c r="AO37" s="353">
        <f>Blumhouse!AN100</f>
        <v>0</v>
      </c>
      <c r="AP37" s="341">
        <f t="shared" si="59"/>
        <v>10581.518</v>
      </c>
      <c r="AQ37" s="353">
        <f>Blumhouse!AP100</f>
        <v>0</v>
      </c>
      <c r="AR37" s="353">
        <f>Blumhouse!AQ100</f>
        <v>0</v>
      </c>
      <c r="AS37" s="353">
        <f>Blumhouse!AR100</f>
        <v>0</v>
      </c>
      <c r="AT37" s="353">
        <f>Blumhouse!AS100</f>
        <v>0</v>
      </c>
      <c r="AU37" s="353">
        <f>Blumhouse!AT100</f>
        <v>0</v>
      </c>
      <c r="AV37" s="353">
        <f>Blumhouse!AU100</f>
        <v>0</v>
      </c>
      <c r="AW37" s="353">
        <f>Blumhouse!AV100</f>
        <v>10581.518</v>
      </c>
      <c r="AX37" s="353">
        <f>Blumhouse!AW100</f>
        <v>0</v>
      </c>
      <c r="AY37" s="353">
        <f>Blumhouse!AX100</f>
        <v>0</v>
      </c>
      <c r="AZ37" s="353">
        <f>Blumhouse!AY100</f>
        <v>0</v>
      </c>
      <c r="BA37" s="353">
        <f>Blumhouse!AZ100</f>
        <v>0</v>
      </c>
      <c r="BB37" s="353">
        <f>Blumhouse!BA100</f>
        <v>0</v>
      </c>
      <c r="BC37" s="341">
        <f t="shared" si="80"/>
        <v>10581.518</v>
      </c>
      <c r="BD37" s="353">
        <f>Blumhouse!BC100</f>
        <v>0</v>
      </c>
      <c r="BE37" s="353">
        <f>Blumhouse!BD100</f>
        <v>0</v>
      </c>
      <c r="BF37" s="353">
        <f>Blumhouse!BE100</f>
        <v>0</v>
      </c>
      <c r="BG37" s="353">
        <f>Blumhouse!BF100</f>
        <v>0</v>
      </c>
      <c r="BH37" s="353">
        <f>Blumhouse!BG100</f>
        <v>0</v>
      </c>
      <c r="BI37" s="353">
        <f>Blumhouse!BH100</f>
        <v>0</v>
      </c>
      <c r="BJ37" s="353">
        <f>Blumhouse!BI100</f>
        <v>10581.518</v>
      </c>
      <c r="BK37" s="353">
        <f>Blumhouse!BJ100</f>
        <v>0</v>
      </c>
      <c r="BL37" s="353">
        <f>Blumhouse!BK100</f>
        <v>0</v>
      </c>
      <c r="BM37" s="353">
        <f>Blumhouse!BL100</f>
        <v>0</v>
      </c>
      <c r="BN37" s="353">
        <f>Blumhouse!BM100</f>
        <v>0</v>
      </c>
      <c r="BO37" s="353">
        <f>Blumhouse!BN100</f>
        <v>0</v>
      </c>
      <c r="BP37" s="341">
        <f t="shared" si="71"/>
        <v>10581.518</v>
      </c>
      <c r="BQ37" s="341">
        <f t="shared" si="72"/>
        <v>45564.963999999993</v>
      </c>
      <c r="BR37" s="54"/>
    </row>
    <row r="38" spans="1:70" ht="13.5" customHeight="1">
      <c r="A38" s="447"/>
      <c r="B38" s="162" t="s">
        <v>1053</v>
      </c>
      <c r="C38" s="446"/>
      <c r="D38" s="353">
        <f>Tatsunoko!C100</f>
        <v>0</v>
      </c>
      <c r="E38" s="353">
        <f>Tatsunoko!D100</f>
        <v>0</v>
      </c>
      <c r="F38" s="353">
        <f>Tatsunoko!E100</f>
        <v>0</v>
      </c>
      <c r="G38" s="353">
        <f>Tatsunoko!F100</f>
        <v>0</v>
      </c>
      <c r="H38" s="353">
        <f>Tatsunoko!G100</f>
        <v>0</v>
      </c>
      <c r="I38" s="353">
        <f>Tatsunoko!H100</f>
        <v>0</v>
      </c>
      <c r="J38" s="353">
        <f>Tatsunoko!I100</f>
        <v>0</v>
      </c>
      <c r="K38" s="353">
        <f>Tatsunoko!J100</f>
        <v>0</v>
      </c>
      <c r="L38" s="353">
        <f>Tatsunoko!K100</f>
        <v>0</v>
      </c>
      <c r="M38" s="353">
        <f>Tatsunoko!L100</f>
        <v>0</v>
      </c>
      <c r="N38" s="353">
        <f>Tatsunoko!M100</f>
        <v>0</v>
      </c>
      <c r="O38" s="353">
        <f>Tatsunoko!N100</f>
        <v>0</v>
      </c>
      <c r="P38" s="341">
        <f t="shared" si="79"/>
        <v>0</v>
      </c>
      <c r="Q38" s="353">
        <f>Tatsunoko!P100</f>
        <v>0</v>
      </c>
      <c r="R38" s="353">
        <f>Tatsunoko!Q100</f>
        <v>0</v>
      </c>
      <c r="S38" s="353">
        <f>Tatsunoko!R100</f>
        <v>0</v>
      </c>
      <c r="T38" s="353">
        <f>Tatsunoko!S100</f>
        <v>0</v>
      </c>
      <c r="U38" s="353">
        <f>Tatsunoko!T100</f>
        <v>0</v>
      </c>
      <c r="V38" s="353">
        <f>Tatsunoko!U100</f>
        <v>0</v>
      </c>
      <c r="W38" s="353">
        <f>Tatsunoko!V100</f>
        <v>15872.277</v>
      </c>
      <c r="X38" s="353">
        <f>Tatsunoko!W100</f>
        <v>0</v>
      </c>
      <c r="Y38" s="353">
        <f>Tatsunoko!X100</f>
        <v>0</v>
      </c>
      <c r="Z38" s="353">
        <f>Tatsunoko!Y100</f>
        <v>0</v>
      </c>
      <c r="AA38" s="353">
        <f>Tatsunoko!Z100</f>
        <v>0</v>
      </c>
      <c r="AB38" s="353">
        <f>Tatsunoko!AA100</f>
        <v>0</v>
      </c>
      <c r="AC38" s="341">
        <f t="shared" si="58"/>
        <v>15872.277</v>
      </c>
      <c r="AD38" s="353">
        <f>Tatsunoko!AC100</f>
        <v>0</v>
      </c>
      <c r="AE38" s="353">
        <f>Tatsunoko!AD100</f>
        <v>0</v>
      </c>
      <c r="AF38" s="353">
        <f>Tatsunoko!AE100</f>
        <v>0</v>
      </c>
      <c r="AG38" s="353">
        <f>Tatsunoko!AF100</f>
        <v>0</v>
      </c>
      <c r="AH38" s="353">
        <f>Tatsunoko!AG100</f>
        <v>0</v>
      </c>
      <c r="AI38" s="353">
        <f>Tatsunoko!AH100</f>
        <v>0</v>
      </c>
      <c r="AJ38" s="353">
        <f>Tatsunoko!AI100</f>
        <v>10581.518</v>
      </c>
      <c r="AK38" s="353">
        <f>Tatsunoko!AJ100</f>
        <v>0</v>
      </c>
      <c r="AL38" s="353">
        <f>Tatsunoko!AK100</f>
        <v>0</v>
      </c>
      <c r="AM38" s="353">
        <f>Tatsunoko!AL100</f>
        <v>0</v>
      </c>
      <c r="AN38" s="353">
        <f>Tatsunoko!AM100</f>
        <v>0</v>
      </c>
      <c r="AO38" s="353">
        <f>Tatsunoko!AN100</f>
        <v>0</v>
      </c>
      <c r="AP38" s="341">
        <f t="shared" si="59"/>
        <v>10581.518</v>
      </c>
      <c r="AQ38" s="353">
        <f>Tatsunoko!AP100</f>
        <v>0</v>
      </c>
      <c r="AR38" s="353">
        <f>Tatsunoko!AQ100</f>
        <v>0</v>
      </c>
      <c r="AS38" s="353">
        <f>Tatsunoko!AR100</f>
        <v>0</v>
      </c>
      <c r="AT38" s="353">
        <f>Tatsunoko!AS100</f>
        <v>0</v>
      </c>
      <c r="AU38" s="353">
        <f>Tatsunoko!AT100</f>
        <v>0</v>
      </c>
      <c r="AV38" s="353">
        <f>Tatsunoko!AU100</f>
        <v>0</v>
      </c>
      <c r="AW38" s="353">
        <f>Tatsunoko!AV100</f>
        <v>10581.518</v>
      </c>
      <c r="AX38" s="353">
        <f>Tatsunoko!AW100</f>
        <v>0</v>
      </c>
      <c r="AY38" s="353">
        <f>Tatsunoko!AX100</f>
        <v>0</v>
      </c>
      <c r="AZ38" s="353">
        <f>Tatsunoko!AY100</f>
        <v>0</v>
      </c>
      <c r="BA38" s="353">
        <f>Tatsunoko!AZ100</f>
        <v>0</v>
      </c>
      <c r="BB38" s="353">
        <f>Tatsunoko!BA100</f>
        <v>0</v>
      </c>
      <c r="BC38" s="341">
        <f t="shared" si="80"/>
        <v>10581.518</v>
      </c>
      <c r="BD38" s="353">
        <f>Tatsunoko!BC100</f>
        <v>0</v>
      </c>
      <c r="BE38" s="353">
        <f>Tatsunoko!BD100</f>
        <v>0</v>
      </c>
      <c r="BF38" s="353">
        <f>Tatsunoko!BE100</f>
        <v>0</v>
      </c>
      <c r="BG38" s="353">
        <f>Tatsunoko!BF100</f>
        <v>0</v>
      </c>
      <c r="BH38" s="353">
        <f>Tatsunoko!BG100</f>
        <v>0</v>
      </c>
      <c r="BI38" s="353">
        <f>Tatsunoko!BH100</f>
        <v>0</v>
      </c>
      <c r="BJ38" s="353">
        <f>Tatsunoko!BI100</f>
        <v>10581.518</v>
      </c>
      <c r="BK38" s="353">
        <f>Tatsunoko!BJ100</f>
        <v>0</v>
      </c>
      <c r="BL38" s="353">
        <f>Tatsunoko!BK100</f>
        <v>0</v>
      </c>
      <c r="BM38" s="353">
        <f>Tatsunoko!BL100</f>
        <v>0</v>
      </c>
      <c r="BN38" s="353">
        <f>Tatsunoko!BM100</f>
        <v>0</v>
      </c>
      <c r="BO38" s="353">
        <f>Tatsunoko!BN100</f>
        <v>0</v>
      </c>
      <c r="BP38" s="341">
        <f t="shared" si="71"/>
        <v>10581.518</v>
      </c>
      <c r="BQ38" s="341">
        <f t="shared" si="72"/>
        <v>47616.830999999991</v>
      </c>
      <c r="BR38" s="54"/>
    </row>
    <row r="39" spans="1:70" ht="13.5" customHeight="1">
      <c r="A39" s="447"/>
      <c r="B39" s="162" t="s">
        <v>1071</v>
      </c>
      <c r="C39" s="446"/>
      <c r="D39" s="353">
        <f>'PPA MLP'!C100</f>
        <v>0</v>
      </c>
      <c r="E39" s="353">
        <f>'PPA MLP'!D100</f>
        <v>0</v>
      </c>
      <c r="F39" s="353">
        <f>'PPA MLP'!E100</f>
        <v>0</v>
      </c>
      <c r="G39" s="353">
        <f>'PPA MLP'!F100</f>
        <v>0</v>
      </c>
      <c r="H39" s="353">
        <f>'PPA MLP'!G100</f>
        <v>0</v>
      </c>
      <c r="I39" s="353">
        <f>'PPA MLP'!H100</f>
        <v>0</v>
      </c>
      <c r="J39" s="353">
        <f>'PPA MLP'!I100</f>
        <v>0</v>
      </c>
      <c r="K39" s="353">
        <f>'PPA MLP'!J100</f>
        <v>0</v>
      </c>
      <c r="L39" s="353">
        <f>'PPA MLP'!K100</f>
        <v>0</v>
      </c>
      <c r="M39" s="353">
        <f>'PPA MLP'!L100</f>
        <v>0</v>
      </c>
      <c r="N39" s="353">
        <f>'PPA MLP'!M100</f>
        <v>0</v>
      </c>
      <c r="O39" s="353">
        <f>'PPA MLP'!N100</f>
        <v>0</v>
      </c>
      <c r="P39" s="341">
        <f t="shared" ref="P39" si="81">SUM(D39:O39)</f>
        <v>0</v>
      </c>
      <c r="Q39" s="353">
        <f>'PPA MLP'!P100</f>
        <v>0</v>
      </c>
      <c r="R39" s="353">
        <f>'PPA MLP'!Q100</f>
        <v>0</v>
      </c>
      <c r="S39" s="353">
        <f>'PPA MLP'!R100</f>
        <v>0</v>
      </c>
      <c r="T39" s="353">
        <f>'PPA MLP'!S100</f>
        <v>0</v>
      </c>
      <c r="U39" s="353">
        <f>'PPA MLP'!T100</f>
        <v>0</v>
      </c>
      <c r="V39" s="353">
        <f>'PPA MLP'!U100</f>
        <v>0</v>
      </c>
      <c r="W39" s="353">
        <f>'PPA MLP'!V100</f>
        <v>5515.6780999999992</v>
      </c>
      <c r="X39" s="353">
        <f>'PPA MLP'!W100</f>
        <v>0</v>
      </c>
      <c r="Y39" s="353">
        <f>'PPA MLP'!X100</f>
        <v>0</v>
      </c>
      <c r="Z39" s="353">
        <f>'PPA MLP'!Y100</f>
        <v>0</v>
      </c>
      <c r="AA39" s="353">
        <f>'PPA MLP'!Z100</f>
        <v>4754.1372000000001</v>
      </c>
      <c r="AB39" s="353">
        <f>'PPA MLP'!AA100</f>
        <v>0</v>
      </c>
      <c r="AC39" s="341">
        <f t="shared" ref="AC39" si="82">SUM(Q39:AB39)</f>
        <v>10269.815299999998</v>
      </c>
      <c r="AD39" s="353">
        <f>'PPA MLP'!AC100</f>
        <v>0</v>
      </c>
      <c r="AE39" s="353">
        <f>'PPA MLP'!AD100</f>
        <v>0</v>
      </c>
      <c r="AF39" s="353">
        <f>'PPA MLP'!AE100</f>
        <v>0</v>
      </c>
      <c r="AG39" s="353">
        <f>'PPA MLP'!AF100</f>
        <v>0</v>
      </c>
      <c r="AH39" s="353">
        <f>'PPA MLP'!AG100</f>
        <v>0</v>
      </c>
      <c r="AI39" s="353">
        <f>'PPA MLP'!AH100</f>
        <v>0</v>
      </c>
      <c r="AJ39" s="353">
        <f>'PPA MLP'!AI100</f>
        <v>7721.9494000000004</v>
      </c>
      <c r="AK39" s="353">
        <f>'PPA MLP'!AJ100</f>
        <v>0</v>
      </c>
      <c r="AL39" s="353">
        <f>'PPA MLP'!AK100</f>
        <v>0</v>
      </c>
      <c r="AM39" s="353">
        <f>'PPA MLP'!AL100</f>
        <v>0</v>
      </c>
      <c r="AN39" s="353">
        <f>'PPA MLP'!AM100</f>
        <v>6655.7920999999997</v>
      </c>
      <c r="AO39" s="353">
        <f>'PPA MLP'!AN100</f>
        <v>0</v>
      </c>
      <c r="AP39" s="341">
        <f t="shared" ref="AP39" si="83">SUM(AD39:AO39)</f>
        <v>14377.7415</v>
      </c>
      <c r="AQ39" s="353">
        <f>'PPA MLP'!AP100</f>
        <v>0</v>
      </c>
      <c r="AR39" s="353">
        <f>'PPA MLP'!AQ100</f>
        <v>0</v>
      </c>
      <c r="AS39" s="353">
        <f>'PPA MLP'!AR100</f>
        <v>0</v>
      </c>
      <c r="AT39" s="353">
        <f>'PPA MLP'!AS100</f>
        <v>0</v>
      </c>
      <c r="AU39" s="353">
        <f>'PPA MLP'!AT100</f>
        <v>0</v>
      </c>
      <c r="AV39" s="353">
        <f>'PPA MLP'!AU100</f>
        <v>0</v>
      </c>
      <c r="AW39" s="353">
        <f>'PPA MLP'!AV100</f>
        <v>10426.265000000001</v>
      </c>
      <c r="AX39" s="353">
        <f>'PPA MLP'!AW100</f>
        <v>0</v>
      </c>
      <c r="AY39" s="353">
        <f>'PPA MLP'!AX100</f>
        <v>0</v>
      </c>
      <c r="AZ39" s="353">
        <f>'PPA MLP'!AY100</f>
        <v>0</v>
      </c>
      <c r="BA39" s="353">
        <f>'PPA MLP'!AZ100</f>
        <v>8991.6360999999997</v>
      </c>
      <c r="BB39" s="353">
        <f>'PPA MLP'!BA100</f>
        <v>0</v>
      </c>
      <c r="BC39" s="341">
        <f t="shared" ref="BC39" si="84">SUM(AQ39:BB39)</f>
        <v>19417.901100000003</v>
      </c>
      <c r="BD39" s="353">
        <f>'PPA MLP'!BC100</f>
        <v>0</v>
      </c>
      <c r="BE39" s="353">
        <f>'PPA MLP'!BD100</f>
        <v>0</v>
      </c>
      <c r="BF39" s="353">
        <f>'PPA MLP'!BE100</f>
        <v>0</v>
      </c>
      <c r="BG39" s="353">
        <f>'PPA MLP'!BF100</f>
        <v>0</v>
      </c>
      <c r="BH39" s="353">
        <f>'PPA MLP'!BG100</f>
        <v>0</v>
      </c>
      <c r="BI39" s="353">
        <f>'PPA MLP'!BH100</f>
        <v>0</v>
      </c>
      <c r="BJ39" s="353">
        <f>'PPA MLP'!BI100</f>
        <v>13548.8145</v>
      </c>
      <c r="BK39" s="353">
        <f>'PPA MLP'!BJ100</f>
        <v>0</v>
      </c>
      <c r="BL39" s="353">
        <f>'PPA MLP'!BK100</f>
        <v>0</v>
      </c>
      <c r="BM39" s="353">
        <f>'PPA MLP'!BL100</f>
        <v>0</v>
      </c>
      <c r="BN39" s="353">
        <f>'PPA MLP'!BM100</f>
        <v>11693.278099999998</v>
      </c>
      <c r="BO39" s="353">
        <f>'PPA MLP'!BN100</f>
        <v>1424.9762000000001</v>
      </c>
      <c r="BP39" s="341">
        <f t="shared" ref="BP39" si="85">SUM(BD39:BO39)</f>
        <v>26667.068799999997</v>
      </c>
      <c r="BQ39" s="341">
        <f t="shared" ref="BQ39" si="86">P39+AC39+AP39+BC39+BP39</f>
        <v>70732.526700000002</v>
      </c>
      <c r="BR39" s="54"/>
    </row>
    <row r="40" spans="1:70" ht="13.5" customHeight="1">
      <c r="A40" s="447"/>
      <c r="B40" s="1115" t="s">
        <v>781</v>
      </c>
      <c r="C40" s="446">
        <f>'Model Assumptions'!D41</f>
        <v>8.0000000000000002E-3</v>
      </c>
      <c r="D40" s="353">
        <f t="shared" ref="D40:O40" si="87">D15*$C40</f>
        <v>0</v>
      </c>
      <c r="E40" s="353">
        <f t="shared" si="87"/>
        <v>0</v>
      </c>
      <c r="F40" s="353">
        <f t="shared" si="87"/>
        <v>0</v>
      </c>
      <c r="G40" s="353">
        <f t="shared" si="87"/>
        <v>0</v>
      </c>
      <c r="H40" s="353">
        <f t="shared" si="87"/>
        <v>0</v>
      </c>
      <c r="I40" s="353">
        <f t="shared" si="87"/>
        <v>0</v>
      </c>
      <c r="J40" s="353">
        <f t="shared" si="87"/>
        <v>0</v>
      </c>
      <c r="K40" s="353">
        <f t="shared" si="87"/>
        <v>0</v>
      </c>
      <c r="L40" s="353">
        <f t="shared" si="87"/>
        <v>0</v>
      </c>
      <c r="M40" s="353">
        <f t="shared" si="87"/>
        <v>0</v>
      </c>
      <c r="N40" s="353">
        <f t="shared" si="87"/>
        <v>0</v>
      </c>
      <c r="O40" s="353">
        <f t="shared" si="87"/>
        <v>0</v>
      </c>
      <c r="P40" s="341">
        <f t="shared" si="57"/>
        <v>0</v>
      </c>
      <c r="Q40" s="353">
        <f t="shared" ref="Q40:AB40" si="88">Q15*$C40</f>
        <v>0</v>
      </c>
      <c r="R40" s="353">
        <f t="shared" si="88"/>
        <v>0</v>
      </c>
      <c r="S40" s="353">
        <f t="shared" si="88"/>
        <v>0</v>
      </c>
      <c r="T40" s="353">
        <f t="shared" si="88"/>
        <v>0</v>
      </c>
      <c r="U40" s="353">
        <f t="shared" si="88"/>
        <v>0</v>
      </c>
      <c r="V40" s="353">
        <f t="shared" si="88"/>
        <v>183.33333333333337</v>
      </c>
      <c r="W40" s="353">
        <f t="shared" si="88"/>
        <v>183.33333333333337</v>
      </c>
      <c r="X40" s="353">
        <f t="shared" si="88"/>
        <v>183.33333333333337</v>
      </c>
      <c r="Y40" s="353">
        <f t="shared" si="88"/>
        <v>183.33333333333337</v>
      </c>
      <c r="Z40" s="353">
        <f t="shared" si="88"/>
        <v>183.33333333333337</v>
      </c>
      <c r="AA40" s="353">
        <f t="shared" si="88"/>
        <v>183.33333333333337</v>
      </c>
      <c r="AB40" s="353">
        <f t="shared" si="88"/>
        <v>183.33333333333337</v>
      </c>
      <c r="AC40" s="341">
        <f t="shared" si="58"/>
        <v>1283.3333333333335</v>
      </c>
      <c r="AD40" s="353">
        <f t="shared" ref="AD40:AO40" si="89">AD15*$C40</f>
        <v>9166.6666666666661</v>
      </c>
      <c r="AE40" s="353">
        <f t="shared" si="89"/>
        <v>9166.6666666666661</v>
      </c>
      <c r="AF40" s="353">
        <f t="shared" si="89"/>
        <v>9166.6666666666661</v>
      </c>
      <c r="AG40" s="353">
        <f t="shared" si="89"/>
        <v>9166.6666666666661</v>
      </c>
      <c r="AH40" s="353">
        <f t="shared" si="89"/>
        <v>9166.6666666666661</v>
      </c>
      <c r="AI40" s="353">
        <f t="shared" si="89"/>
        <v>9166.6666666666661</v>
      </c>
      <c r="AJ40" s="353">
        <f t="shared" si="89"/>
        <v>9166.6666666666661</v>
      </c>
      <c r="AK40" s="353">
        <f t="shared" si="89"/>
        <v>9166.6666666666661</v>
      </c>
      <c r="AL40" s="353">
        <f t="shared" si="89"/>
        <v>9166.6666666666661</v>
      </c>
      <c r="AM40" s="353">
        <f t="shared" si="89"/>
        <v>9166.6666666666661</v>
      </c>
      <c r="AN40" s="353">
        <f t="shared" si="89"/>
        <v>9166.6666666666661</v>
      </c>
      <c r="AO40" s="353">
        <f t="shared" si="89"/>
        <v>9166.6666666666661</v>
      </c>
      <c r="AP40" s="341">
        <f t="shared" si="59"/>
        <v>110000.00000000001</v>
      </c>
      <c r="AQ40" s="353">
        <f t="shared" ref="AQ40:BB40" si="90">AQ15*$C40</f>
        <v>26400</v>
      </c>
      <c r="AR40" s="353">
        <f t="shared" si="90"/>
        <v>26400</v>
      </c>
      <c r="AS40" s="353">
        <f t="shared" si="90"/>
        <v>26400</v>
      </c>
      <c r="AT40" s="353">
        <f t="shared" si="90"/>
        <v>26400</v>
      </c>
      <c r="AU40" s="353">
        <f t="shared" si="90"/>
        <v>26400</v>
      </c>
      <c r="AV40" s="353">
        <f t="shared" si="90"/>
        <v>26400</v>
      </c>
      <c r="AW40" s="353">
        <f t="shared" si="90"/>
        <v>26400</v>
      </c>
      <c r="AX40" s="353">
        <f t="shared" si="90"/>
        <v>26400</v>
      </c>
      <c r="AY40" s="353">
        <f t="shared" si="90"/>
        <v>26400</v>
      </c>
      <c r="AZ40" s="353">
        <f t="shared" si="90"/>
        <v>26400</v>
      </c>
      <c r="BA40" s="353">
        <f t="shared" si="90"/>
        <v>26400</v>
      </c>
      <c r="BB40" s="353">
        <f t="shared" si="90"/>
        <v>26400</v>
      </c>
      <c r="BC40" s="341">
        <f t="shared" si="60"/>
        <v>316800</v>
      </c>
      <c r="BD40" s="353">
        <f t="shared" ref="BD40:BO40" si="91">BD15*$C40</f>
        <v>43633.333333333336</v>
      </c>
      <c r="BE40" s="353">
        <f t="shared" si="91"/>
        <v>43633.333333333336</v>
      </c>
      <c r="BF40" s="353">
        <f t="shared" si="91"/>
        <v>43633.333333333336</v>
      </c>
      <c r="BG40" s="353">
        <f t="shared" si="91"/>
        <v>43633.333333333336</v>
      </c>
      <c r="BH40" s="353">
        <f t="shared" si="91"/>
        <v>43633.333333333336</v>
      </c>
      <c r="BI40" s="353">
        <f t="shared" si="91"/>
        <v>43633.333333333336</v>
      </c>
      <c r="BJ40" s="353">
        <f t="shared" si="91"/>
        <v>60866.666666666664</v>
      </c>
      <c r="BK40" s="353">
        <f t="shared" si="91"/>
        <v>60866.666666666664</v>
      </c>
      <c r="BL40" s="353">
        <f t="shared" si="91"/>
        <v>60866.666666666664</v>
      </c>
      <c r="BM40" s="353">
        <f t="shared" si="91"/>
        <v>60866.666666666664</v>
      </c>
      <c r="BN40" s="353">
        <f t="shared" si="91"/>
        <v>60866.666666666664</v>
      </c>
      <c r="BO40" s="353">
        <f t="shared" si="91"/>
        <v>60866.666666666664</v>
      </c>
      <c r="BP40" s="341">
        <f t="shared" si="61"/>
        <v>627000</v>
      </c>
      <c r="BQ40" s="341">
        <f t="shared" si="62"/>
        <v>1055083.3333333335</v>
      </c>
      <c r="BR40" s="54"/>
    </row>
    <row r="41" spans="1:70" ht="13.5" customHeight="1">
      <c r="A41" s="55"/>
      <c r="B41" s="207" t="s">
        <v>1157</v>
      </c>
      <c r="C41" s="446">
        <f>'Model Assumptions'!D42</f>
        <v>0</v>
      </c>
      <c r="D41" s="353">
        <f t="shared" ref="D41:O41" si="92">D16*$C41</f>
        <v>0</v>
      </c>
      <c r="E41" s="353">
        <f t="shared" si="92"/>
        <v>0</v>
      </c>
      <c r="F41" s="353">
        <f t="shared" si="92"/>
        <v>0</v>
      </c>
      <c r="G41" s="353">
        <f t="shared" si="92"/>
        <v>0</v>
      </c>
      <c r="H41" s="353">
        <f t="shared" si="92"/>
        <v>0</v>
      </c>
      <c r="I41" s="353">
        <f t="shared" si="92"/>
        <v>0</v>
      </c>
      <c r="J41" s="353">
        <f t="shared" si="92"/>
        <v>0</v>
      </c>
      <c r="K41" s="353">
        <f t="shared" si="92"/>
        <v>0</v>
      </c>
      <c r="L41" s="353">
        <f t="shared" si="92"/>
        <v>0</v>
      </c>
      <c r="M41" s="353">
        <f t="shared" si="92"/>
        <v>0</v>
      </c>
      <c r="N41" s="353">
        <f t="shared" si="92"/>
        <v>0</v>
      </c>
      <c r="O41" s="353">
        <f t="shared" si="92"/>
        <v>0</v>
      </c>
      <c r="P41" s="341">
        <f t="shared" ref="P41" si="93">SUM(D41:O41)</f>
        <v>0</v>
      </c>
      <c r="Q41" s="353">
        <f>Q16*$C41</f>
        <v>0</v>
      </c>
      <c r="R41" s="353">
        <f>R16*$C41</f>
        <v>0</v>
      </c>
      <c r="S41" s="353">
        <f>S16*$C41</f>
        <v>0</v>
      </c>
      <c r="T41" s="353">
        <f>Frequency!$K$14/12</f>
        <v>62606.25</v>
      </c>
      <c r="U41" s="353">
        <f>Frequency!$K$14/12</f>
        <v>62606.25</v>
      </c>
      <c r="V41" s="353">
        <f>Frequency!$K$14/12</f>
        <v>62606.25</v>
      </c>
      <c r="W41" s="353">
        <f>Frequency!$K$14/12</f>
        <v>62606.25</v>
      </c>
      <c r="X41" s="353">
        <f>Frequency!$K$14/12</f>
        <v>62606.25</v>
      </c>
      <c r="Y41" s="353">
        <f>Frequency!$K$14/12</f>
        <v>62606.25</v>
      </c>
      <c r="Z41" s="353">
        <f>Frequency!$K$14/12</f>
        <v>62606.25</v>
      </c>
      <c r="AA41" s="353">
        <f>Frequency!$K$14/12</f>
        <v>62606.25</v>
      </c>
      <c r="AB41" s="353">
        <f>Frequency!$K$14/12</f>
        <v>62606.25</v>
      </c>
      <c r="AC41" s="341">
        <f t="shared" ref="AC41" si="94">SUM(Q41:AB41)</f>
        <v>563456.25</v>
      </c>
      <c r="AD41" s="353">
        <f>Frequency!$K$14/12</f>
        <v>62606.25</v>
      </c>
      <c r="AE41" s="353">
        <f>Frequency!$K$14/12</f>
        <v>62606.25</v>
      </c>
      <c r="AF41" s="353">
        <f>Frequency!$K$14/12</f>
        <v>62606.25</v>
      </c>
      <c r="AG41" s="353">
        <f>Frequency!$K$24/12</f>
        <v>150255</v>
      </c>
      <c r="AH41" s="353">
        <f>Frequency!$K$24/12</f>
        <v>150255</v>
      </c>
      <c r="AI41" s="353">
        <f>Frequency!$K$24/12</f>
        <v>150255</v>
      </c>
      <c r="AJ41" s="353">
        <f>Frequency!$K$24/12</f>
        <v>150255</v>
      </c>
      <c r="AK41" s="353">
        <f>Frequency!$K$24/12</f>
        <v>150255</v>
      </c>
      <c r="AL41" s="353">
        <f>Frequency!$K$24/12</f>
        <v>150255</v>
      </c>
      <c r="AM41" s="353">
        <f>Frequency!$K$24/12</f>
        <v>150255</v>
      </c>
      <c r="AN41" s="353">
        <f>Frequency!$K$24/12</f>
        <v>150255</v>
      </c>
      <c r="AO41" s="353">
        <f>Frequency!$K$24/12</f>
        <v>150255</v>
      </c>
      <c r="AP41" s="341">
        <f t="shared" ref="AP41" si="95">SUM(AD41:AO41)</f>
        <v>1540113.75</v>
      </c>
      <c r="AQ41" s="353">
        <f>Frequency!$K$24/12</f>
        <v>150255</v>
      </c>
      <c r="AR41" s="353">
        <f>Frequency!$K$24/12</f>
        <v>150255</v>
      </c>
      <c r="AS41" s="353">
        <f>Frequency!$K$24/12</f>
        <v>150255</v>
      </c>
      <c r="AT41" s="353">
        <f>Frequency!$K$34/12</f>
        <v>270459</v>
      </c>
      <c r="AU41" s="353">
        <f>Frequency!$K$34/12</f>
        <v>270459</v>
      </c>
      <c r="AV41" s="353">
        <f>Frequency!$K$34/12</f>
        <v>270459</v>
      </c>
      <c r="AW41" s="353">
        <f>Frequency!$K$34/12</f>
        <v>270459</v>
      </c>
      <c r="AX41" s="353">
        <f>Frequency!$K$34/12</f>
        <v>270459</v>
      </c>
      <c r="AY41" s="353">
        <f>Frequency!$K$34/12</f>
        <v>270459</v>
      </c>
      <c r="AZ41" s="353">
        <f>Frequency!$K$34/12</f>
        <v>270459</v>
      </c>
      <c r="BA41" s="353">
        <f>Frequency!$K$34/12</f>
        <v>270459</v>
      </c>
      <c r="BB41" s="353">
        <f>Frequency!$K$34/12</f>
        <v>270459</v>
      </c>
      <c r="BC41" s="341">
        <f t="shared" ref="BC41" si="96">SUM(AQ41:BB41)</f>
        <v>2884896</v>
      </c>
      <c r="BD41" s="353">
        <f>Frequency!$K$34/12</f>
        <v>270459</v>
      </c>
      <c r="BE41" s="353">
        <f>Frequency!$K$34/12</f>
        <v>270459</v>
      </c>
      <c r="BF41" s="353">
        <f>Frequency!$K$34/12</f>
        <v>270459</v>
      </c>
      <c r="BG41" s="353">
        <f>Frequency!$K$34/12</f>
        <v>270459</v>
      </c>
      <c r="BH41" s="353">
        <f>Frequency!$K$34/12</f>
        <v>270459</v>
      </c>
      <c r="BI41" s="353">
        <f>Frequency!$K$34/12</f>
        <v>270459</v>
      </c>
      <c r="BJ41" s="353">
        <f>Frequency!$K$34/12</f>
        <v>270459</v>
      </c>
      <c r="BK41" s="353">
        <f>Frequency!$K$34/12</f>
        <v>270459</v>
      </c>
      <c r="BL41" s="353">
        <f>Frequency!$K$34/12</f>
        <v>270459</v>
      </c>
      <c r="BM41" s="353">
        <f>Frequency!$K$34/12</f>
        <v>270459</v>
      </c>
      <c r="BN41" s="353">
        <f>Frequency!$K$34/12</f>
        <v>270459</v>
      </c>
      <c r="BO41" s="353">
        <f>Frequency!$K$34/12</f>
        <v>270459</v>
      </c>
      <c r="BP41" s="341">
        <f t="shared" ref="BP41" si="97">SUM(BD41:BO41)</f>
        <v>3245508</v>
      </c>
      <c r="BQ41" s="341">
        <f t="shared" ref="BQ41" si="98">P41+AC41+AP41+BC41+BP41</f>
        <v>8233974</v>
      </c>
      <c r="BR41" s="54"/>
    </row>
    <row r="42" spans="1:70" ht="13.5" customHeight="1">
      <c r="A42" s="57"/>
      <c r="B42" s="382" t="s">
        <v>74</v>
      </c>
      <c r="C42" s="382"/>
      <c r="D42" s="355">
        <f t="shared" ref="D42:AI42" si="99">SUM(D26:D40)</f>
        <v>0</v>
      </c>
      <c r="E42" s="355">
        <f t="shared" si="99"/>
        <v>0</v>
      </c>
      <c r="F42" s="355">
        <f t="shared" si="99"/>
        <v>0</v>
      </c>
      <c r="G42" s="355">
        <f t="shared" si="99"/>
        <v>0</v>
      </c>
      <c r="H42" s="355">
        <f t="shared" si="99"/>
        <v>0</v>
      </c>
      <c r="I42" s="355">
        <f t="shared" si="99"/>
        <v>0</v>
      </c>
      <c r="J42" s="355">
        <f t="shared" si="99"/>
        <v>0</v>
      </c>
      <c r="K42" s="355">
        <f t="shared" si="99"/>
        <v>0</v>
      </c>
      <c r="L42" s="355">
        <f t="shared" si="99"/>
        <v>0</v>
      </c>
      <c r="M42" s="355">
        <f t="shared" si="99"/>
        <v>0</v>
      </c>
      <c r="N42" s="355">
        <f t="shared" si="99"/>
        <v>417165.84299999999</v>
      </c>
      <c r="O42" s="355">
        <f t="shared" si="99"/>
        <v>29586.23</v>
      </c>
      <c r="P42" s="356">
        <f t="shared" si="99"/>
        <v>446752.07299999997</v>
      </c>
      <c r="Q42" s="355">
        <f t="shared" si="99"/>
        <v>1292472.699</v>
      </c>
      <c r="R42" s="355">
        <f t="shared" si="99"/>
        <v>1065051.6975</v>
      </c>
      <c r="S42" s="355">
        <f t="shared" si="99"/>
        <v>80368.661999999997</v>
      </c>
      <c r="T42" s="355">
        <f t="shared" si="99"/>
        <v>3455304.8159999996</v>
      </c>
      <c r="U42" s="355">
        <f t="shared" si="99"/>
        <v>190283.12799999997</v>
      </c>
      <c r="V42" s="355">
        <f t="shared" si="99"/>
        <v>558939.01333333342</v>
      </c>
      <c r="W42" s="355">
        <f t="shared" si="99"/>
        <v>3000225.6959333336</v>
      </c>
      <c r="X42" s="355">
        <f t="shared" si="99"/>
        <v>1285338.2533333332</v>
      </c>
      <c r="Y42" s="355">
        <f t="shared" si="99"/>
        <v>1788791.4283333332</v>
      </c>
      <c r="Z42" s="355">
        <f t="shared" si="99"/>
        <v>1538643.0088333334</v>
      </c>
      <c r="AA42" s="355">
        <f t="shared" si="99"/>
        <v>4800654.8855333328</v>
      </c>
      <c r="AB42" s="355">
        <f t="shared" si="99"/>
        <v>497708.24533333338</v>
      </c>
      <c r="AC42" s="356">
        <f t="shared" si="99"/>
        <v>19553781.533133332</v>
      </c>
      <c r="AD42" s="355">
        <f t="shared" si="99"/>
        <v>699918.36166666669</v>
      </c>
      <c r="AE42" s="355">
        <f t="shared" si="99"/>
        <v>613849.79466666665</v>
      </c>
      <c r="AF42" s="355">
        <f t="shared" si="99"/>
        <v>426322.91666666674</v>
      </c>
      <c r="AG42" s="355">
        <f t="shared" si="99"/>
        <v>939791.8531666667</v>
      </c>
      <c r="AH42" s="355">
        <f t="shared" si="99"/>
        <v>1234325.7116666667</v>
      </c>
      <c r="AI42" s="355">
        <f t="shared" si="99"/>
        <v>430181.66666666674</v>
      </c>
      <c r="AJ42" s="355">
        <f t="shared" ref="AJ42:BQ42" si="100">SUM(AJ26:AJ40)</f>
        <v>5488719.512066666</v>
      </c>
      <c r="AK42" s="355">
        <f t="shared" si="100"/>
        <v>2890563.0776666664</v>
      </c>
      <c r="AL42" s="355">
        <f t="shared" si="100"/>
        <v>430181.66666666674</v>
      </c>
      <c r="AM42" s="355">
        <f t="shared" si="100"/>
        <v>7538376.9476666665</v>
      </c>
      <c r="AN42" s="355">
        <f t="shared" si="100"/>
        <v>1565343.193766667</v>
      </c>
      <c r="AO42" s="355">
        <f t="shared" si="100"/>
        <v>1113381.666666667</v>
      </c>
      <c r="AP42" s="356">
        <f t="shared" si="100"/>
        <v>23370956.369000003</v>
      </c>
      <c r="AQ42" s="355">
        <f t="shared" si="100"/>
        <v>1401132.4920000003</v>
      </c>
      <c r="AR42" s="355">
        <f t="shared" si="100"/>
        <v>1130615.0000000002</v>
      </c>
      <c r="AS42" s="355">
        <f t="shared" si="100"/>
        <v>1130615.0000000002</v>
      </c>
      <c r="AT42" s="355">
        <f t="shared" si="100"/>
        <v>1669784.3330000003</v>
      </c>
      <c r="AU42" s="355">
        <f t="shared" si="100"/>
        <v>2117237.426</v>
      </c>
      <c r="AV42" s="355">
        <f t="shared" si="100"/>
        <v>1135907.0000000002</v>
      </c>
      <c r="AW42" s="355">
        <f t="shared" si="100"/>
        <v>7258580.9925000006</v>
      </c>
      <c r="AX42" s="355">
        <f t="shared" si="100"/>
        <v>4028883.9529999997</v>
      </c>
      <c r="AY42" s="355">
        <f t="shared" si="100"/>
        <v>1135907.0000000002</v>
      </c>
      <c r="AZ42" s="355">
        <f t="shared" si="100"/>
        <v>9308439.5605000015</v>
      </c>
      <c r="BA42" s="355">
        <f t="shared" si="100"/>
        <v>2438417.7670999998</v>
      </c>
      <c r="BB42" s="355">
        <f t="shared" si="100"/>
        <v>1819107.0000000002</v>
      </c>
      <c r="BC42" s="356">
        <f t="shared" si="100"/>
        <v>34574627.524099991</v>
      </c>
      <c r="BD42" s="355">
        <f t="shared" si="100"/>
        <v>2222793.8923333338</v>
      </c>
      <c r="BE42" s="355">
        <f t="shared" si="100"/>
        <v>1836340.3333333335</v>
      </c>
      <c r="BF42" s="355">
        <f t="shared" si="100"/>
        <v>1836340.3333333335</v>
      </c>
      <c r="BG42" s="355">
        <f t="shared" si="100"/>
        <v>2519540.333333334</v>
      </c>
      <c r="BH42" s="355">
        <f t="shared" si="100"/>
        <v>3678057.140333334</v>
      </c>
      <c r="BI42" s="355">
        <f t="shared" si="100"/>
        <v>2519540.333333334</v>
      </c>
      <c r="BJ42" s="355">
        <f t="shared" si="100"/>
        <v>9744913.7501666658</v>
      </c>
      <c r="BK42" s="355">
        <f t="shared" si="100"/>
        <v>6103446.786666668</v>
      </c>
      <c r="BL42" s="355">
        <f t="shared" si="100"/>
        <v>2536773.666666667</v>
      </c>
      <c r="BM42" s="355">
        <f t="shared" si="100"/>
        <v>11111966.487166665</v>
      </c>
      <c r="BN42" s="355">
        <f t="shared" si="100"/>
        <v>3334052.5067666671</v>
      </c>
      <c r="BO42" s="355">
        <f t="shared" si="100"/>
        <v>3092514.4033666672</v>
      </c>
      <c r="BP42" s="356">
        <f t="shared" si="100"/>
        <v>50536279.966799997</v>
      </c>
      <c r="BQ42" s="356">
        <f t="shared" si="100"/>
        <v>128482397.46603335</v>
      </c>
      <c r="BR42" s="84"/>
    </row>
    <row r="43" spans="1:70" ht="13.5" customHeight="1">
      <c r="A43" s="62"/>
      <c r="B43" s="328"/>
      <c r="C43" s="328"/>
      <c r="D43" s="344"/>
      <c r="E43" s="344"/>
      <c r="F43" s="344"/>
      <c r="G43" s="344"/>
      <c r="H43" s="344"/>
      <c r="I43" s="344"/>
      <c r="J43" s="344"/>
      <c r="K43" s="344"/>
      <c r="L43" s="344"/>
      <c r="M43" s="344"/>
      <c r="N43" s="344"/>
      <c r="O43" s="344"/>
      <c r="P43" s="357"/>
      <c r="Q43" s="344"/>
      <c r="R43" s="344"/>
      <c r="S43" s="344"/>
      <c r="T43" s="344"/>
      <c r="U43" s="344"/>
      <c r="V43" s="344"/>
      <c r="W43" s="344"/>
      <c r="X43" s="344"/>
      <c r="Y43" s="344"/>
      <c r="Z43" s="344"/>
      <c r="AA43" s="344"/>
      <c r="AB43" s="344"/>
      <c r="AC43" s="357"/>
      <c r="AD43" s="344"/>
      <c r="AE43" s="344"/>
      <c r="AF43" s="344"/>
      <c r="AG43" s="344"/>
      <c r="AH43" s="344"/>
      <c r="AI43" s="344"/>
      <c r="AJ43" s="344"/>
      <c r="AK43" s="344"/>
      <c r="AL43" s="344"/>
      <c r="AM43" s="344"/>
      <c r="AN43" s="344"/>
      <c r="AO43" s="344"/>
      <c r="AP43" s="357"/>
      <c r="AQ43" s="346"/>
      <c r="AR43" s="346"/>
      <c r="AS43" s="346"/>
      <c r="AT43" s="346"/>
      <c r="AU43" s="346"/>
      <c r="AV43" s="346"/>
      <c r="AW43" s="346"/>
      <c r="AX43" s="346"/>
      <c r="AY43" s="346"/>
      <c r="AZ43" s="346"/>
      <c r="BA43" s="346"/>
      <c r="BB43" s="346"/>
      <c r="BC43" s="358"/>
      <c r="BD43" s="346"/>
      <c r="BE43" s="346"/>
      <c r="BF43" s="346"/>
      <c r="BG43" s="346"/>
      <c r="BH43" s="346"/>
      <c r="BI43" s="346"/>
      <c r="BJ43" s="346"/>
      <c r="BK43" s="346"/>
      <c r="BL43" s="346"/>
      <c r="BM43" s="346"/>
      <c r="BN43" s="346"/>
      <c r="BO43" s="346"/>
      <c r="BP43" s="358"/>
      <c r="BQ43" s="358"/>
      <c r="BR43" s="85"/>
    </row>
    <row r="44" spans="1:70" ht="13.5" customHeight="1">
      <c r="A44" s="32"/>
      <c r="B44" s="379" t="s">
        <v>76</v>
      </c>
      <c r="C44" s="379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/>
      <c r="AH44" s="348"/>
      <c r="AI44" s="348"/>
      <c r="AJ44" s="348"/>
      <c r="AK44" s="348"/>
      <c r="AL44" s="348"/>
      <c r="AM44" s="348"/>
      <c r="AN44" s="348"/>
      <c r="AO44" s="348"/>
      <c r="AP44" s="348"/>
      <c r="AQ44" s="338"/>
      <c r="AR44" s="338"/>
      <c r="AS44" s="338"/>
      <c r="AT44" s="338"/>
      <c r="AU44" s="338"/>
      <c r="AV44" s="338"/>
      <c r="AW44" s="338"/>
      <c r="AX44" s="338"/>
      <c r="AY44" s="338"/>
      <c r="AZ44" s="338"/>
      <c r="BA44" s="338"/>
      <c r="BB44" s="338"/>
      <c r="BC44" s="338"/>
      <c r="BD44" s="338"/>
      <c r="BE44" s="338"/>
      <c r="BF44" s="338"/>
      <c r="BG44" s="338"/>
      <c r="BH44" s="338"/>
      <c r="BI44" s="338"/>
      <c r="BJ44" s="338"/>
      <c r="BK44" s="338"/>
      <c r="BL44" s="338"/>
      <c r="BM44" s="338"/>
      <c r="BN44" s="338"/>
      <c r="BO44" s="338"/>
      <c r="BP44" s="338"/>
      <c r="BQ44" s="338"/>
      <c r="BR44" s="82"/>
    </row>
    <row r="45" spans="1:70" ht="13.5" customHeight="1">
      <c r="A45" s="50" t="s">
        <v>77</v>
      </c>
      <c r="B45" s="380"/>
      <c r="C45" s="380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50"/>
      <c r="Q45" s="349"/>
      <c r="R45" s="349"/>
      <c r="S45" s="349"/>
      <c r="T45" s="349"/>
      <c r="U45" s="349"/>
      <c r="V45" s="349"/>
      <c r="W45" s="349"/>
      <c r="X45" s="349"/>
      <c r="Y45" s="349"/>
      <c r="Z45" s="349"/>
      <c r="AA45" s="349"/>
      <c r="AB45" s="349"/>
      <c r="AC45" s="350"/>
      <c r="AD45" s="349"/>
      <c r="AE45" s="349"/>
      <c r="AF45" s="349"/>
      <c r="AG45" s="349"/>
      <c r="AH45" s="349"/>
      <c r="AI45" s="349"/>
      <c r="AJ45" s="349"/>
      <c r="AK45" s="349"/>
      <c r="AL45" s="349"/>
      <c r="AM45" s="349"/>
      <c r="AN45" s="349"/>
      <c r="AO45" s="349"/>
      <c r="AP45" s="350"/>
      <c r="AQ45" s="351"/>
      <c r="AR45" s="351"/>
      <c r="AS45" s="351"/>
      <c r="AT45" s="351"/>
      <c r="AU45" s="351"/>
      <c r="AV45" s="351"/>
      <c r="AW45" s="351"/>
      <c r="AX45" s="351"/>
      <c r="AY45" s="351"/>
      <c r="AZ45" s="351"/>
      <c r="BA45" s="351"/>
      <c r="BB45" s="351"/>
      <c r="BC45" s="352"/>
      <c r="BD45" s="351"/>
      <c r="BE45" s="351"/>
      <c r="BF45" s="351"/>
      <c r="BG45" s="351"/>
      <c r="BH45" s="351"/>
      <c r="BI45" s="351"/>
      <c r="BJ45" s="351"/>
      <c r="BK45" s="351"/>
      <c r="BL45" s="351"/>
      <c r="BM45" s="351"/>
      <c r="BN45" s="351"/>
      <c r="BO45" s="351"/>
      <c r="BP45" s="352"/>
      <c r="BQ45" s="352"/>
      <c r="BR45" s="82"/>
    </row>
    <row r="46" spans="1:70" ht="13.5" customHeight="1">
      <c r="A46" s="4"/>
      <c r="B46" s="162" t="s">
        <v>583</v>
      </c>
      <c r="C46" s="377"/>
      <c r="D46" s="340">
        <f>BKFC!C101</f>
        <v>0</v>
      </c>
      <c r="E46" s="340">
        <f>BKFC!D101</f>
        <v>0</v>
      </c>
      <c r="F46" s="340">
        <f>BKFC!E101</f>
        <v>0</v>
      </c>
      <c r="G46" s="340">
        <f>BKFC!F101</f>
        <v>0</v>
      </c>
      <c r="H46" s="340">
        <f>BKFC!G101</f>
        <v>0</v>
      </c>
      <c r="I46" s="340">
        <f>BKFC!H101</f>
        <v>0</v>
      </c>
      <c r="J46" s="340">
        <f>BKFC!I101</f>
        <v>0</v>
      </c>
      <c r="K46" s="340">
        <f>BKFC!J101</f>
        <v>0</v>
      </c>
      <c r="L46" s="340">
        <f>BKFC!K101</f>
        <v>0</v>
      </c>
      <c r="M46" s="340">
        <f>BKFC!L101</f>
        <v>0</v>
      </c>
      <c r="N46" s="340">
        <f>BKFC!M101</f>
        <v>0</v>
      </c>
      <c r="O46" s="340">
        <f>BKFC!N101</f>
        <v>200000</v>
      </c>
      <c r="P46" s="341">
        <f>SUM(D46:O46)</f>
        <v>200000</v>
      </c>
      <c r="Q46" s="340">
        <f>BKFC!P101</f>
        <v>505631.58550000004</v>
      </c>
      <c r="R46" s="340">
        <f>BKFC!Q101</f>
        <v>0</v>
      </c>
      <c r="S46" s="340">
        <f>BKFC!R101</f>
        <v>0</v>
      </c>
      <c r="T46" s="340">
        <f>BKFC!S101</f>
        <v>2186203.8240000005</v>
      </c>
      <c r="U46" s="340">
        <f>BKFC!T101</f>
        <v>0</v>
      </c>
      <c r="V46" s="340">
        <f>BKFC!U101</f>
        <v>0</v>
      </c>
      <c r="W46" s="340">
        <f>BKFC!V101</f>
        <v>135942.73200000002</v>
      </c>
      <c r="X46" s="340">
        <f>BKFC!W101</f>
        <v>0</v>
      </c>
      <c r="Y46" s="340">
        <f>BKFC!X101</f>
        <v>0</v>
      </c>
      <c r="Z46" s="340">
        <f>BKFC!Y101</f>
        <v>921522.4425</v>
      </c>
      <c r="AA46" s="340">
        <f>BKFC!Z101</f>
        <v>0</v>
      </c>
      <c r="AB46" s="340">
        <f>BKFC!AA101</f>
        <v>0</v>
      </c>
      <c r="AC46" s="341">
        <f>SUM(Q46:AB46)</f>
        <v>3749300.5840000003</v>
      </c>
      <c r="AD46" s="340">
        <f>BKFC!AC101</f>
        <v>3001804.7175000003</v>
      </c>
      <c r="AE46" s="340">
        <f>BKFC!AD101</f>
        <v>0</v>
      </c>
      <c r="AF46" s="340">
        <f>BKFC!AE101</f>
        <v>0</v>
      </c>
      <c r="AG46" s="340">
        <f>BKFC!AF101</f>
        <v>135942.73200000002</v>
      </c>
      <c r="AH46" s="340">
        <f>BKFC!AG101</f>
        <v>0</v>
      </c>
      <c r="AI46" s="340">
        <f>BKFC!AH101</f>
        <v>0</v>
      </c>
      <c r="AJ46" s="340">
        <f>BKFC!AI101</f>
        <v>1360201.0961250002</v>
      </c>
      <c r="AK46" s="340">
        <f>BKFC!AJ101</f>
        <v>0</v>
      </c>
      <c r="AL46" s="340">
        <f>BKFC!AK101</f>
        <v>0</v>
      </c>
      <c r="AM46" s="340">
        <f>BKFC!AL101</f>
        <v>4161708.9816750004</v>
      </c>
      <c r="AN46" s="340">
        <f>BKFC!AM101</f>
        <v>0</v>
      </c>
      <c r="AO46" s="340">
        <f>BKFC!AN101</f>
        <v>0</v>
      </c>
      <c r="AP46" s="341">
        <f>SUM(AD46:AO46)</f>
        <v>8659657.5273000002</v>
      </c>
      <c r="AQ46" s="340">
        <f>BKFC!AP101</f>
        <v>190319.82794999998</v>
      </c>
      <c r="AR46" s="340">
        <f>BKFC!AQ101</f>
        <v>0</v>
      </c>
      <c r="AS46" s="340">
        <f>BKFC!AR101</f>
        <v>0</v>
      </c>
      <c r="AT46" s="340">
        <f>BKFC!AS101</f>
        <v>0</v>
      </c>
      <c r="AU46" s="340">
        <f>BKFC!AT101</f>
        <v>0</v>
      </c>
      <c r="AV46" s="340">
        <f>BKFC!AU101</f>
        <v>0</v>
      </c>
      <c r="AW46" s="340">
        <f>BKFC!AV101</f>
        <v>1659909.974625</v>
      </c>
      <c r="AX46" s="340">
        <f>BKFC!AW101</f>
        <v>0</v>
      </c>
      <c r="AY46" s="340">
        <f>BKFC!AX101</f>
        <v>0</v>
      </c>
      <c r="AZ46" s="340">
        <f>BKFC!AY101</f>
        <v>4893439.7414250011</v>
      </c>
      <c r="BA46" s="340">
        <f>BKFC!AZ101</f>
        <v>0</v>
      </c>
      <c r="BB46" s="340">
        <f>BKFC!BA101</f>
        <v>0</v>
      </c>
      <c r="BC46" s="341">
        <f>SUM(AQ46:BB46)</f>
        <v>6743669.5440000016</v>
      </c>
      <c r="BD46" s="340">
        <f>BKFC!BC101</f>
        <v>271885.46849999996</v>
      </c>
      <c r="BE46" s="340">
        <f>BKFC!BD101</f>
        <v>0</v>
      </c>
      <c r="BF46" s="340">
        <f>BKFC!BE101</f>
        <v>0</v>
      </c>
      <c r="BG46" s="340">
        <f>BKFC!BF101</f>
        <v>0</v>
      </c>
      <c r="BH46" s="340">
        <f>BKFC!BG101</f>
        <v>0</v>
      </c>
      <c r="BI46" s="340">
        <f>BKFC!BH101</f>
        <v>0</v>
      </c>
      <c r="BJ46" s="340">
        <f>BKFC!BI101</f>
        <v>1959618.8531250001</v>
      </c>
      <c r="BK46" s="340">
        <f>BKFC!BJ101</f>
        <v>0</v>
      </c>
      <c r="BL46" s="340">
        <f>BKFC!BK101</f>
        <v>0</v>
      </c>
      <c r="BM46" s="340">
        <f>BKFC!BL101</f>
        <v>6032989.6409250004</v>
      </c>
      <c r="BN46" s="340">
        <f>BKFC!BM101</f>
        <v>0</v>
      </c>
      <c r="BO46" s="340">
        <f>BKFC!BN101</f>
        <v>339856.83562500001</v>
      </c>
      <c r="BP46" s="341">
        <f t="shared" ref="BP46:BP50" si="101">SUM(BD46:BO46)</f>
        <v>8604350.7981749997</v>
      </c>
      <c r="BQ46" s="341">
        <f t="shared" ref="BQ46:BQ56" si="102">P46+AC46+AP46+BC46+BP46</f>
        <v>27956978.453475002</v>
      </c>
      <c r="BR46" s="54"/>
    </row>
    <row r="47" spans="1:70" ht="13.5" customHeight="1">
      <c r="A47" s="4"/>
      <c r="B47" s="162" t="s">
        <v>1038</v>
      </c>
      <c r="C47" s="377"/>
      <c r="D47" s="340">
        <f>Ted!C101</f>
        <v>0</v>
      </c>
      <c r="E47" s="340">
        <f>Ted!D101</f>
        <v>0</v>
      </c>
      <c r="F47" s="340">
        <f>Ted!E101</f>
        <v>0</v>
      </c>
      <c r="G47" s="340">
        <f>Ted!F101</f>
        <v>0</v>
      </c>
      <c r="H47" s="340">
        <f>Ted!G101</f>
        <v>0</v>
      </c>
      <c r="I47" s="340">
        <f>Ted!H101</f>
        <v>0</v>
      </c>
      <c r="J47" s="340">
        <f>Ted!I101</f>
        <v>0</v>
      </c>
      <c r="K47" s="340">
        <f>Ted!J101</f>
        <v>0</v>
      </c>
      <c r="L47" s="340">
        <f>Ted!K101</f>
        <v>0</v>
      </c>
      <c r="M47" s="340">
        <f>Ted!L101</f>
        <v>0</v>
      </c>
      <c r="N47" s="340">
        <f>Ted!M101</f>
        <v>25000</v>
      </c>
      <c r="O47" s="340">
        <f>Ted!N101</f>
        <v>0</v>
      </c>
      <c r="P47" s="341">
        <f t="shared" ref="P47:P50" si="103">SUM(D47:O47)</f>
        <v>25000</v>
      </c>
      <c r="Q47" s="340">
        <f>Ted!P101</f>
        <v>0</v>
      </c>
      <c r="R47" s="340">
        <f>Ted!Q101</f>
        <v>0</v>
      </c>
      <c r="S47" s="340">
        <f>Ted!R101</f>
        <v>0</v>
      </c>
      <c r="T47" s="340">
        <f>Ted!S101</f>
        <v>0</v>
      </c>
      <c r="U47" s="340">
        <f>Ted!T101</f>
        <v>0</v>
      </c>
      <c r="V47" s="340">
        <f>Ted!U101</f>
        <v>25000</v>
      </c>
      <c r="W47" s="340">
        <f>Ted!V101</f>
        <v>0</v>
      </c>
      <c r="X47" s="340">
        <f>Ted!W101</f>
        <v>0</v>
      </c>
      <c r="Y47" s="340">
        <f>Ted!X101</f>
        <v>0</v>
      </c>
      <c r="Z47" s="340">
        <f>Ted!Y101</f>
        <v>175847</v>
      </c>
      <c r="AA47" s="340">
        <f>Ted!Z101</f>
        <v>0</v>
      </c>
      <c r="AB47" s="340">
        <f>Ted!AA101</f>
        <v>0</v>
      </c>
      <c r="AC47" s="341">
        <f t="shared" ref="AC47:AC50" si="104">SUM(Q47:AB47)</f>
        <v>200847</v>
      </c>
      <c r="AD47" s="340">
        <f>Ted!AC101</f>
        <v>0</v>
      </c>
      <c r="AE47" s="340">
        <f>Ted!AD101</f>
        <v>0</v>
      </c>
      <c r="AF47" s="340">
        <f>Ted!AE101</f>
        <v>0</v>
      </c>
      <c r="AG47" s="340">
        <f>Ted!AF101</f>
        <v>0</v>
      </c>
      <c r="AH47" s="340">
        <f>Ted!AG101</f>
        <v>0</v>
      </c>
      <c r="AI47" s="340">
        <f>Ted!AH101</f>
        <v>0</v>
      </c>
      <c r="AJ47" s="340">
        <f>Ted!AI101</f>
        <v>0</v>
      </c>
      <c r="AK47" s="340">
        <f>Ted!AJ101</f>
        <v>323929</v>
      </c>
      <c r="AL47" s="340">
        <f>Ted!AK101</f>
        <v>0</v>
      </c>
      <c r="AM47" s="340">
        <f>Ted!AL101</f>
        <v>0</v>
      </c>
      <c r="AN47" s="340">
        <f>Ted!AM101</f>
        <v>0</v>
      </c>
      <c r="AO47" s="340">
        <f>Ted!AN101</f>
        <v>0</v>
      </c>
      <c r="AP47" s="341">
        <f t="shared" ref="AP47:AP50" si="105">SUM(AD47:AO47)</f>
        <v>323929</v>
      </c>
      <c r="AQ47" s="340">
        <f>Ted!AP101</f>
        <v>0</v>
      </c>
      <c r="AR47" s="340">
        <f>Ted!AQ101</f>
        <v>0</v>
      </c>
      <c r="AS47" s="340">
        <f>Ted!AR101</f>
        <v>0</v>
      </c>
      <c r="AT47" s="340">
        <f>Ted!AS101</f>
        <v>0</v>
      </c>
      <c r="AU47" s="340">
        <f>Ted!AT101</f>
        <v>0</v>
      </c>
      <c r="AV47" s="340">
        <f>Ted!AU101</f>
        <v>0</v>
      </c>
      <c r="AW47" s="340">
        <f>Ted!AV101</f>
        <v>0</v>
      </c>
      <c r="AX47" s="340">
        <f>Ted!AW101</f>
        <v>422010</v>
      </c>
      <c r="AY47" s="340">
        <f>Ted!AX101</f>
        <v>0</v>
      </c>
      <c r="AZ47" s="340">
        <f>Ted!AY101</f>
        <v>0</v>
      </c>
      <c r="BA47" s="340">
        <f>Ted!AZ101</f>
        <v>0</v>
      </c>
      <c r="BB47" s="340">
        <f>Ted!BA101</f>
        <v>0</v>
      </c>
      <c r="BC47" s="341">
        <f t="shared" ref="BC47:BC50" si="106">SUM(AQ47:BB47)</f>
        <v>422010</v>
      </c>
      <c r="BD47" s="340">
        <f>Ted!BC101</f>
        <v>0</v>
      </c>
      <c r="BE47" s="340">
        <f>Ted!BD101</f>
        <v>0</v>
      </c>
      <c r="BF47" s="340">
        <f>Ted!BE101</f>
        <v>0</v>
      </c>
      <c r="BG47" s="340">
        <f>Ted!BF101</f>
        <v>0</v>
      </c>
      <c r="BH47" s="340">
        <f>Ted!BG101</f>
        <v>0</v>
      </c>
      <c r="BI47" s="340">
        <f>Ted!BH101</f>
        <v>0</v>
      </c>
      <c r="BJ47" s="340">
        <f>Ted!BI101</f>
        <v>0</v>
      </c>
      <c r="BK47" s="340">
        <f>Ted!BJ101</f>
        <v>520091</v>
      </c>
      <c r="BL47" s="340">
        <f>Ted!BK101</f>
        <v>0</v>
      </c>
      <c r="BM47" s="340">
        <f>Ted!BL101</f>
        <v>0</v>
      </c>
      <c r="BN47" s="340">
        <f>Ted!BM101</f>
        <v>0</v>
      </c>
      <c r="BO47" s="340">
        <f>Ted!BN101</f>
        <v>0</v>
      </c>
      <c r="BP47" s="341">
        <f t="shared" si="101"/>
        <v>520091</v>
      </c>
      <c r="BQ47" s="341">
        <f t="shared" si="102"/>
        <v>1491877</v>
      </c>
      <c r="BR47" s="54"/>
    </row>
    <row r="48" spans="1:70" ht="13.5" customHeight="1">
      <c r="A48" s="4"/>
      <c r="B48" s="162" t="s">
        <v>1039</v>
      </c>
      <c r="C48" s="377"/>
      <c r="D48" s="340">
        <f>CareBears!C101</f>
        <v>0</v>
      </c>
      <c r="E48" s="340">
        <f>CareBears!D101</f>
        <v>0</v>
      </c>
      <c r="F48" s="340">
        <f>CareBears!E101</f>
        <v>0</v>
      </c>
      <c r="G48" s="340">
        <f>CareBears!F101</f>
        <v>0</v>
      </c>
      <c r="H48" s="340">
        <f>CareBears!G101</f>
        <v>0</v>
      </c>
      <c r="I48" s="340">
        <f>CareBears!H101</f>
        <v>0</v>
      </c>
      <c r="J48" s="340">
        <f>CareBears!I101</f>
        <v>0</v>
      </c>
      <c r="K48" s="340">
        <f>CareBears!J101</f>
        <v>0</v>
      </c>
      <c r="L48" s="340">
        <f>CareBears!K101</f>
        <v>0</v>
      </c>
      <c r="M48" s="340">
        <f>CareBears!L101</f>
        <v>0</v>
      </c>
      <c r="N48" s="340">
        <f>CareBears!M101</f>
        <v>100000</v>
      </c>
      <c r="O48" s="340">
        <f>CareBears!N101</f>
        <v>0</v>
      </c>
      <c r="P48" s="341">
        <f t="shared" si="103"/>
        <v>100000</v>
      </c>
      <c r="Q48" s="340">
        <f>CareBears!P101</f>
        <v>0</v>
      </c>
      <c r="R48" s="340">
        <f>CareBears!Q101</f>
        <v>0</v>
      </c>
      <c r="S48" s="340">
        <f>CareBears!R101</f>
        <v>0</v>
      </c>
      <c r="T48" s="340">
        <f>CareBears!S101</f>
        <v>0</v>
      </c>
      <c r="U48" s="340">
        <f>CareBears!T101</f>
        <v>0</v>
      </c>
      <c r="V48" s="340">
        <f>CareBears!U101</f>
        <v>0</v>
      </c>
      <c r="W48" s="340">
        <f>CareBears!V101</f>
        <v>0</v>
      </c>
      <c r="X48" s="340">
        <f>CareBears!W101</f>
        <v>0</v>
      </c>
      <c r="Y48" s="340">
        <f>CareBears!X101</f>
        <v>0</v>
      </c>
      <c r="Z48" s="340">
        <f>CareBears!Y101</f>
        <v>0</v>
      </c>
      <c r="AA48" s="340">
        <f>CareBears!Z101</f>
        <v>100000</v>
      </c>
      <c r="AB48" s="340">
        <f>CareBears!AA101</f>
        <v>0</v>
      </c>
      <c r="AC48" s="341">
        <f t="shared" si="104"/>
        <v>100000</v>
      </c>
      <c r="AD48" s="340">
        <f>CareBears!AC101</f>
        <v>95185</v>
      </c>
      <c r="AE48" s="340">
        <f>CareBears!AD101</f>
        <v>0</v>
      </c>
      <c r="AF48" s="340">
        <f>CareBears!AE101</f>
        <v>0</v>
      </c>
      <c r="AG48" s="340">
        <f>CareBears!AF101</f>
        <v>0</v>
      </c>
      <c r="AH48" s="340">
        <f>CareBears!AG101</f>
        <v>0</v>
      </c>
      <c r="AI48" s="340">
        <f>CareBears!AH101</f>
        <v>0</v>
      </c>
      <c r="AJ48" s="340">
        <f>CareBears!AI101</f>
        <v>99924</v>
      </c>
      <c r="AK48" s="340">
        <f>CareBears!AJ101</f>
        <v>0</v>
      </c>
      <c r="AL48" s="340">
        <f>CareBears!AK101</f>
        <v>0</v>
      </c>
      <c r="AM48" s="340">
        <f>CareBears!AL101</f>
        <v>0</v>
      </c>
      <c r="AN48" s="340">
        <f>CareBears!AM101</f>
        <v>0</v>
      </c>
      <c r="AO48" s="340">
        <f>CareBears!AN101</f>
        <v>0</v>
      </c>
      <c r="AP48" s="341">
        <f t="shared" si="105"/>
        <v>195109</v>
      </c>
      <c r="AQ48" s="340">
        <f>CareBears!AP101</f>
        <v>99924</v>
      </c>
      <c r="AR48" s="340">
        <f>CareBears!AQ101</f>
        <v>0</v>
      </c>
      <c r="AS48" s="340">
        <f>CareBears!AR101</f>
        <v>0</v>
      </c>
      <c r="AT48" s="340">
        <f>CareBears!AS101</f>
        <v>0</v>
      </c>
      <c r="AU48" s="340">
        <f>CareBears!AT101</f>
        <v>0</v>
      </c>
      <c r="AV48" s="340">
        <f>CareBears!AU101</f>
        <v>0</v>
      </c>
      <c r="AW48" s="340">
        <f>CareBears!AV101</f>
        <v>104682</v>
      </c>
      <c r="AX48" s="340">
        <f>CareBears!AW101</f>
        <v>0</v>
      </c>
      <c r="AY48" s="340">
        <f>CareBears!AX101</f>
        <v>0</v>
      </c>
      <c r="AZ48" s="340">
        <f>CareBears!AY101</f>
        <v>0</v>
      </c>
      <c r="BA48" s="340">
        <f>CareBears!AZ101</f>
        <v>0</v>
      </c>
      <c r="BB48" s="340">
        <f>CareBears!BA101</f>
        <v>0</v>
      </c>
      <c r="BC48" s="341">
        <f t="shared" si="106"/>
        <v>204606</v>
      </c>
      <c r="BD48" s="340">
        <f>CareBears!BC101</f>
        <v>104682</v>
      </c>
      <c r="BE48" s="340">
        <f>CareBears!BD101</f>
        <v>0</v>
      </c>
      <c r="BF48" s="340">
        <f>CareBears!BE101</f>
        <v>0</v>
      </c>
      <c r="BG48" s="340">
        <f>CareBears!BF101</f>
        <v>0</v>
      </c>
      <c r="BH48" s="340">
        <f>CareBears!BG101</f>
        <v>0</v>
      </c>
      <c r="BI48" s="340">
        <f>CareBears!BH101</f>
        <v>0</v>
      </c>
      <c r="BJ48" s="340">
        <f>CareBears!BI101</f>
        <v>0</v>
      </c>
      <c r="BK48" s="340">
        <f>CareBears!BJ101</f>
        <v>0</v>
      </c>
      <c r="BL48" s="340">
        <f>CareBears!BK101</f>
        <v>0</v>
      </c>
      <c r="BM48" s="340">
        <f>CareBears!BL101</f>
        <v>0</v>
      </c>
      <c r="BN48" s="340">
        <f>CareBears!BM101</f>
        <v>0</v>
      </c>
      <c r="BO48" s="340">
        <f>CareBears!BN101</f>
        <v>0</v>
      </c>
      <c r="BP48" s="341">
        <f t="shared" si="101"/>
        <v>104682</v>
      </c>
      <c r="BQ48" s="341">
        <f t="shared" si="102"/>
        <v>704397</v>
      </c>
      <c r="BR48" s="54"/>
    </row>
    <row r="49" spans="1:70" ht="13.5" customHeight="1">
      <c r="A49" s="4"/>
      <c r="B49" s="162" t="s">
        <v>1050</v>
      </c>
      <c r="C49" s="377"/>
      <c r="D49" s="340">
        <f>Blumhouse!C101</f>
        <v>0</v>
      </c>
      <c r="E49" s="340">
        <f>Blumhouse!D101</f>
        <v>0</v>
      </c>
      <c r="F49" s="340">
        <f>Blumhouse!E101</f>
        <v>0</v>
      </c>
      <c r="G49" s="340">
        <f>Blumhouse!F101</f>
        <v>0</v>
      </c>
      <c r="H49" s="340">
        <f>Blumhouse!G101</f>
        <v>0</v>
      </c>
      <c r="I49" s="340">
        <f>Blumhouse!H101</f>
        <v>0</v>
      </c>
      <c r="J49" s="340">
        <f>Blumhouse!I101</f>
        <v>0</v>
      </c>
      <c r="K49" s="340">
        <f>Blumhouse!J101</f>
        <v>0</v>
      </c>
      <c r="L49" s="340">
        <f>Blumhouse!K101</f>
        <v>0</v>
      </c>
      <c r="M49" s="340">
        <f>Blumhouse!L101</f>
        <v>0</v>
      </c>
      <c r="N49" s="340">
        <f>Blumhouse!M101</f>
        <v>25000</v>
      </c>
      <c r="O49" s="340">
        <f>Blumhouse!N101</f>
        <v>0</v>
      </c>
      <c r="P49" s="341">
        <f t="shared" si="103"/>
        <v>25000</v>
      </c>
      <c r="Q49" s="340">
        <f>Blumhouse!P101</f>
        <v>0</v>
      </c>
      <c r="R49" s="340">
        <f>Blumhouse!Q101</f>
        <v>0</v>
      </c>
      <c r="S49" s="340">
        <f>Blumhouse!R101</f>
        <v>0</v>
      </c>
      <c r="T49" s="340">
        <f>Blumhouse!S101</f>
        <v>0</v>
      </c>
      <c r="U49" s="340">
        <f>Blumhouse!T101</f>
        <v>0</v>
      </c>
      <c r="V49" s="340">
        <f>Blumhouse!U101</f>
        <v>25000</v>
      </c>
      <c r="W49" s="340">
        <f>Blumhouse!V101</f>
        <v>0</v>
      </c>
      <c r="X49" s="340">
        <f>Blumhouse!W101</f>
        <v>0</v>
      </c>
      <c r="Y49" s="340">
        <f>Blumhouse!X101</f>
        <v>0</v>
      </c>
      <c r="Z49" s="340">
        <f>Blumhouse!Y101</f>
        <v>88204</v>
      </c>
      <c r="AA49" s="340">
        <f>Blumhouse!Z101</f>
        <v>0</v>
      </c>
      <c r="AB49" s="340">
        <f>Blumhouse!AA101</f>
        <v>0</v>
      </c>
      <c r="AC49" s="341">
        <f t="shared" si="104"/>
        <v>113204</v>
      </c>
      <c r="AD49" s="340">
        <f>Blumhouse!AC101</f>
        <v>0</v>
      </c>
      <c r="AE49" s="340">
        <f>Blumhouse!AD101</f>
        <v>0</v>
      </c>
      <c r="AF49" s="340">
        <f>Blumhouse!AE101</f>
        <v>0</v>
      </c>
      <c r="AG49" s="340">
        <f>Blumhouse!AF101</f>
        <v>0</v>
      </c>
      <c r="AH49" s="340">
        <f>Blumhouse!AG101</f>
        <v>0</v>
      </c>
      <c r="AI49" s="340">
        <f>Blumhouse!AH101</f>
        <v>0</v>
      </c>
      <c r="AJ49" s="340">
        <f>Blumhouse!AI101</f>
        <v>0</v>
      </c>
      <c r="AK49" s="340">
        <f>Blumhouse!AJ101</f>
        <v>105815</v>
      </c>
      <c r="AL49" s="340">
        <f>Blumhouse!AK101</f>
        <v>0</v>
      </c>
      <c r="AM49" s="340">
        <f>Blumhouse!AL101</f>
        <v>0</v>
      </c>
      <c r="AN49" s="340">
        <f>Blumhouse!AM101</f>
        <v>0</v>
      </c>
      <c r="AO49" s="340">
        <f>Blumhouse!AN101</f>
        <v>0</v>
      </c>
      <c r="AP49" s="341">
        <f t="shared" si="105"/>
        <v>105815</v>
      </c>
      <c r="AQ49" s="340">
        <f>Blumhouse!AP101</f>
        <v>0</v>
      </c>
      <c r="AR49" s="340">
        <f>Blumhouse!AQ101</f>
        <v>0</v>
      </c>
      <c r="AS49" s="340">
        <f>Blumhouse!AR101</f>
        <v>0</v>
      </c>
      <c r="AT49" s="340">
        <f>Blumhouse!AS101</f>
        <v>0</v>
      </c>
      <c r="AU49" s="340">
        <f>Blumhouse!AT101</f>
        <v>0</v>
      </c>
      <c r="AV49" s="340">
        <f>Blumhouse!AU101</f>
        <v>0</v>
      </c>
      <c r="AW49" s="340">
        <f>Blumhouse!AV101</f>
        <v>0</v>
      </c>
      <c r="AX49" s="340">
        <f>Blumhouse!AW101</f>
        <v>105815</v>
      </c>
      <c r="AY49" s="340">
        <f>Blumhouse!AX101</f>
        <v>0</v>
      </c>
      <c r="AZ49" s="340">
        <f>Blumhouse!AY101</f>
        <v>0</v>
      </c>
      <c r="BA49" s="340">
        <f>Blumhouse!AZ101</f>
        <v>0</v>
      </c>
      <c r="BB49" s="340">
        <f>Blumhouse!BA101</f>
        <v>0</v>
      </c>
      <c r="BC49" s="341">
        <f t="shared" si="106"/>
        <v>105815</v>
      </c>
      <c r="BD49" s="340">
        <f>Blumhouse!BC101</f>
        <v>0</v>
      </c>
      <c r="BE49" s="340">
        <f>Blumhouse!BD101</f>
        <v>0</v>
      </c>
      <c r="BF49" s="340">
        <f>Blumhouse!BE101</f>
        <v>0</v>
      </c>
      <c r="BG49" s="340">
        <f>Blumhouse!BF101</f>
        <v>0</v>
      </c>
      <c r="BH49" s="340">
        <f>Blumhouse!BG101</f>
        <v>0</v>
      </c>
      <c r="BI49" s="340">
        <f>Blumhouse!BH101</f>
        <v>0</v>
      </c>
      <c r="BJ49" s="340">
        <f>Blumhouse!BI101</f>
        <v>0</v>
      </c>
      <c r="BK49" s="340">
        <f>Blumhouse!BJ101</f>
        <v>105815</v>
      </c>
      <c r="BL49" s="340">
        <f>Blumhouse!BK101</f>
        <v>0</v>
      </c>
      <c r="BM49" s="340">
        <f>Blumhouse!BL101</f>
        <v>0</v>
      </c>
      <c r="BN49" s="340">
        <f>Blumhouse!BM101</f>
        <v>0</v>
      </c>
      <c r="BO49" s="340">
        <f>Blumhouse!BN101</f>
        <v>0</v>
      </c>
      <c r="BP49" s="341">
        <f t="shared" si="101"/>
        <v>105815</v>
      </c>
      <c r="BQ49" s="341">
        <f t="shared" si="102"/>
        <v>455649</v>
      </c>
      <c r="BR49" s="54"/>
    </row>
    <row r="50" spans="1:70" ht="13.5" customHeight="1">
      <c r="A50" s="4"/>
      <c r="B50" s="162" t="s">
        <v>1054</v>
      </c>
      <c r="C50" s="377"/>
      <c r="D50" s="340">
        <f>Tatsunoko!C101</f>
        <v>0</v>
      </c>
      <c r="E50" s="340">
        <f>Tatsunoko!D101</f>
        <v>0</v>
      </c>
      <c r="F50" s="340">
        <f>Tatsunoko!E101</f>
        <v>0</v>
      </c>
      <c r="G50" s="340">
        <f>Tatsunoko!F101</f>
        <v>0</v>
      </c>
      <c r="H50" s="340">
        <f>Tatsunoko!G101</f>
        <v>0</v>
      </c>
      <c r="I50" s="340">
        <f>Tatsunoko!H101</f>
        <v>0</v>
      </c>
      <c r="J50" s="340">
        <f>Tatsunoko!I101</f>
        <v>0</v>
      </c>
      <c r="K50" s="340">
        <f>Tatsunoko!J101</f>
        <v>0</v>
      </c>
      <c r="L50" s="340">
        <f>Tatsunoko!K101</f>
        <v>0</v>
      </c>
      <c r="M50" s="340">
        <f>Tatsunoko!L101</f>
        <v>0</v>
      </c>
      <c r="N50" s="340">
        <f>Tatsunoko!M101</f>
        <v>30000</v>
      </c>
      <c r="O50" s="340">
        <f>Tatsunoko!N101</f>
        <v>0</v>
      </c>
      <c r="P50" s="341">
        <f t="shared" si="103"/>
        <v>30000</v>
      </c>
      <c r="Q50" s="340">
        <f>Tatsunoko!P101</f>
        <v>0</v>
      </c>
      <c r="R50" s="340">
        <f>Tatsunoko!Q101</f>
        <v>0</v>
      </c>
      <c r="S50" s="340">
        <f>Tatsunoko!R101</f>
        <v>0</v>
      </c>
      <c r="T50" s="340">
        <f>Tatsunoko!S101</f>
        <v>0</v>
      </c>
      <c r="U50" s="340">
        <f>Tatsunoko!T101</f>
        <v>0</v>
      </c>
      <c r="V50" s="340">
        <f>Tatsunoko!U101</f>
        <v>0</v>
      </c>
      <c r="W50" s="340">
        <f>Tatsunoko!V101</f>
        <v>0</v>
      </c>
      <c r="X50" s="340">
        <f>Tatsunoko!W101</f>
        <v>30000</v>
      </c>
      <c r="Y50" s="340">
        <f>Tatsunoko!X101</f>
        <v>0</v>
      </c>
      <c r="Z50" s="340">
        <f>Tatsunoko!Y101</f>
        <v>98723</v>
      </c>
      <c r="AA50" s="340">
        <f>Tatsunoko!Z101</f>
        <v>0</v>
      </c>
      <c r="AB50" s="340">
        <f>Tatsunoko!AA101</f>
        <v>0</v>
      </c>
      <c r="AC50" s="341">
        <f t="shared" si="104"/>
        <v>128723</v>
      </c>
      <c r="AD50" s="340">
        <f>Tatsunoko!AC101</f>
        <v>0</v>
      </c>
      <c r="AE50" s="340">
        <f>Tatsunoko!AD101</f>
        <v>0</v>
      </c>
      <c r="AF50" s="340">
        <f>Tatsunoko!AE101</f>
        <v>0</v>
      </c>
      <c r="AG50" s="340">
        <f>Tatsunoko!AF101</f>
        <v>0</v>
      </c>
      <c r="AH50" s="340">
        <f>Tatsunoko!AG101</f>
        <v>0</v>
      </c>
      <c r="AI50" s="340">
        <f>Tatsunoko!AH101</f>
        <v>0</v>
      </c>
      <c r="AJ50" s="340">
        <f>Tatsunoko!AI101</f>
        <v>0</v>
      </c>
      <c r="AK50" s="340">
        <f>Tatsunoko!AJ101</f>
        <v>105815</v>
      </c>
      <c r="AL50" s="340">
        <f>Tatsunoko!AK101</f>
        <v>0</v>
      </c>
      <c r="AM50" s="340">
        <f>Tatsunoko!AL101</f>
        <v>0</v>
      </c>
      <c r="AN50" s="340">
        <f>Tatsunoko!AM101</f>
        <v>0</v>
      </c>
      <c r="AO50" s="340">
        <f>Tatsunoko!AN101</f>
        <v>0</v>
      </c>
      <c r="AP50" s="341">
        <f t="shared" si="105"/>
        <v>105815</v>
      </c>
      <c r="AQ50" s="340">
        <f>Tatsunoko!AP101</f>
        <v>0</v>
      </c>
      <c r="AR50" s="340">
        <f>Tatsunoko!AQ101</f>
        <v>0</v>
      </c>
      <c r="AS50" s="340">
        <f>Tatsunoko!AR101</f>
        <v>0</v>
      </c>
      <c r="AT50" s="340">
        <f>Tatsunoko!AS101</f>
        <v>0</v>
      </c>
      <c r="AU50" s="340">
        <f>Tatsunoko!AT101</f>
        <v>0</v>
      </c>
      <c r="AV50" s="340">
        <f>Tatsunoko!AU101</f>
        <v>0</v>
      </c>
      <c r="AW50" s="340">
        <f>Tatsunoko!AV101</f>
        <v>0</v>
      </c>
      <c r="AX50" s="340">
        <f>Tatsunoko!AW101</f>
        <v>105815</v>
      </c>
      <c r="AY50" s="340">
        <f>Tatsunoko!AX101</f>
        <v>0</v>
      </c>
      <c r="AZ50" s="340">
        <f>Tatsunoko!AY101</f>
        <v>0</v>
      </c>
      <c r="BA50" s="340">
        <f>Tatsunoko!AZ101</f>
        <v>0</v>
      </c>
      <c r="BB50" s="340">
        <f>Tatsunoko!BA101</f>
        <v>0</v>
      </c>
      <c r="BC50" s="341">
        <f t="shared" si="106"/>
        <v>105815</v>
      </c>
      <c r="BD50" s="340">
        <f>Tatsunoko!BC101</f>
        <v>0</v>
      </c>
      <c r="BE50" s="340">
        <f>Tatsunoko!BD101</f>
        <v>0</v>
      </c>
      <c r="BF50" s="340">
        <f>Tatsunoko!BE101</f>
        <v>0</v>
      </c>
      <c r="BG50" s="340">
        <f>Tatsunoko!BF101</f>
        <v>0</v>
      </c>
      <c r="BH50" s="340">
        <f>Tatsunoko!BG101</f>
        <v>0</v>
      </c>
      <c r="BI50" s="340">
        <f>Tatsunoko!BH101</f>
        <v>0</v>
      </c>
      <c r="BJ50" s="340">
        <f>Tatsunoko!BI101</f>
        <v>0</v>
      </c>
      <c r="BK50" s="340">
        <f>Tatsunoko!BJ101</f>
        <v>105815</v>
      </c>
      <c r="BL50" s="340">
        <f>Tatsunoko!BK101</f>
        <v>0</v>
      </c>
      <c r="BM50" s="340">
        <f>Tatsunoko!BL101</f>
        <v>0</v>
      </c>
      <c r="BN50" s="340">
        <f>Tatsunoko!BM101</f>
        <v>0</v>
      </c>
      <c r="BO50" s="340">
        <f>Tatsunoko!BN101</f>
        <v>0</v>
      </c>
      <c r="BP50" s="341">
        <f t="shared" si="101"/>
        <v>105815</v>
      </c>
      <c r="BQ50" s="341">
        <f t="shared" si="102"/>
        <v>476168</v>
      </c>
      <c r="BR50" s="54"/>
    </row>
    <row r="51" spans="1:70" ht="13.5" customHeight="1">
      <c r="A51" s="4"/>
      <c r="B51" s="162" t="s">
        <v>1072</v>
      </c>
      <c r="C51" s="377"/>
      <c r="D51" s="340">
        <f>'PPA MLP'!C101</f>
        <v>0</v>
      </c>
      <c r="E51" s="340">
        <f>'PPA MLP'!D101</f>
        <v>0</v>
      </c>
      <c r="F51" s="340">
        <f>'PPA MLP'!E101</f>
        <v>0</v>
      </c>
      <c r="G51" s="340">
        <f>'PPA MLP'!F101</f>
        <v>0</v>
      </c>
      <c r="H51" s="340">
        <f>'PPA MLP'!G101</f>
        <v>0</v>
      </c>
      <c r="I51" s="340">
        <f>'PPA MLP'!H101</f>
        <v>0</v>
      </c>
      <c r="J51" s="340">
        <f>'PPA MLP'!I101</f>
        <v>0</v>
      </c>
      <c r="K51" s="340">
        <f>'PPA MLP'!J101</f>
        <v>0</v>
      </c>
      <c r="L51" s="340">
        <f>'PPA MLP'!K101</f>
        <v>0</v>
      </c>
      <c r="M51" s="340">
        <f>'PPA MLP'!L101</f>
        <v>0</v>
      </c>
      <c r="N51" s="340">
        <f>'PPA MLP'!M101</f>
        <v>250000</v>
      </c>
      <c r="O51" s="340">
        <f>'PPA MLP'!N101</f>
        <v>0</v>
      </c>
      <c r="P51" s="341">
        <f t="shared" ref="P51" si="107">SUM(D51:O51)</f>
        <v>250000</v>
      </c>
      <c r="Q51" s="340">
        <f>'PPA MLP'!P101</f>
        <v>0</v>
      </c>
      <c r="R51" s="340">
        <f>'PPA MLP'!Q101</f>
        <v>0</v>
      </c>
      <c r="S51" s="340">
        <f>'PPA MLP'!R101</f>
        <v>0</v>
      </c>
      <c r="T51" s="340">
        <f>'PPA MLP'!S101</f>
        <v>0</v>
      </c>
      <c r="U51" s="340">
        <f>'PPA MLP'!T101</f>
        <v>0</v>
      </c>
      <c r="V51" s="340">
        <f>'PPA MLP'!U101</f>
        <v>0</v>
      </c>
      <c r="W51" s="340">
        <f>'PPA MLP'!V101</f>
        <v>0</v>
      </c>
      <c r="X51" s="340">
        <f>'PPA MLP'!W101</f>
        <v>0</v>
      </c>
      <c r="Y51" s="340">
        <f>'PPA MLP'!X101</f>
        <v>0</v>
      </c>
      <c r="Z51" s="340">
        <f>'PPA MLP'!Y101</f>
        <v>0</v>
      </c>
      <c r="AA51" s="340">
        <f>'PPA MLP'!Z101</f>
        <v>0</v>
      </c>
      <c r="AB51" s="340">
        <f>'PPA MLP'!AA101</f>
        <v>0</v>
      </c>
      <c r="AC51" s="341">
        <f t="shared" ref="AC51" si="108">SUM(Q51:AB51)</f>
        <v>0</v>
      </c>
      <c r="AD51" s="340">
        <f>'PPA MLP'!AC101</f>
        <v>0</v>
      </c>
      <c r="AE51" s="340">
        <f>'PPA MLP'!AD101</f>
        <v>0</v>
      </c>
      <c r="AF51" s="340">
        <f>'PPA MLP'!AE101</f>
        <v>0</v>
      </c>
      <c r="AG51" s="340">
        <f>'PPA MLP'!AF101</f>
        <v>0</v>
      </c>
      <c r="AH51" s="340">
        <f>'PPA MLP'!AG101</f>
        <v>0</v>
      </c>
      <c r="AI51" s="340">
        <f>'PPA MLP'!AH101</f>
        <v>0</v>
      </c>
      <c r="AJ51" s="340">
        <f>'PPA MLP'!AI101</f>
        <v>0</v>
      </c>
      <c r="AK51" s="340">
        <f>'PPA MLP'!AJ101</f>
        <v>0</v>
      </c>
      <c r="AL51" s="340">
        <f>'PPA MLP'!AK101</f>
        <v>0</v>
      </c>
      <c r="AM51" s="340">
        <f>'PPA MLP'!AL101</f>
        <v>0</v>
      </c>
      <c r="AN51" s="340">
        <f>'PPA MLP'!AM101</f>
        <v>0</v>
      </c>
      <c r="AO51" s="340">
        <f>'PPA MLP'!AN101</f>
        <v>0</v>
      </c>
      <c r="AP51" s="341">
        <f t="shared" ref="AP51" si="109">SUM(AD51:AO51)</f>
        <v>0</v>
      </c>
      <c r="AQ51" s="340">
        <f>'PPA MLP'!AP101</f>
        <v>0</v>
      </c>
      <c r="AR51" s="340">
        <f>'PPA MLP'!AQ101</f>
        <v>0</v>
      </c>
      <c r="AS51" s="340">
        <f>'PPA MLP'!AR101</f>
        <v>0</v>
      </c>
      <c r="AT51" s="340">
        <f>'PPA MLP'!AS101</f>
        <v>0</v>
      </c>
      <c r="AU51" s="340">
        <f>'PPA MLP'!AT101</f>
        <v>0</v>
      </c>
      <c r="AV51" s="340">
        <f>'PPA MLP'!AU101</f>
        <v>0</v>
      </c>
      <c r="AW51" s="340">
        <f>'PPA MLP'!AV101</f>
        <v>0</v>
      </c>
      <c r="AX51" s="340">
        <f>'PPA MLP'!AW101</f>
        <v>0</v>
      </c>
      <c r="AY51" s="340">
        <f>'PPA MLP'!AX101</f>
        <v>0</v>
      </c>
      <c r="AZ51" s="340">
        <f>'PPA MLP'!AY101</f>
        <v>100737.65000000002</v>
      </c>
      <c r="BA51" s="340">
        <f>'PPA MLP'!AZ101</f>
        <v>0</v>
      </c>
      <c r="BB51" s="340">
        <f>'PPA MLP'!BA101</f>
        <v>0</v>
      </c>
      <c r="BC51" s="341">
        <f t="shared" ref="BC51" si="110">SUM(AQ51:BB51)</f>
        <v>100737.65000000002</v>
      </c>
      <c r="BD51" s="340">
        <f>'PPA MLP'!BC101</f>
        <v>89916.361000000004</v>
      </c>
      <c r="BE51" s="340">
        <f>'PPA MLP'!BD101</f>
        <v>0</v>
      </c>
      <c r="BF51" s="340">
        <f>'PPA MLP'!BE101</f>
        <v>0</v>
      </c>
      <c r="BG51" s="340">
        <f>'PPA MLP'!BF101</f>
        <v>0</v>
      </c>
      <c r="BH51" s="340">
        <f>'PPA MLP'!BG101</f>
        <v>0</v>
      </c>
      <c r="BI51" s="340">
        <f>'PPA MLP'!BH101</f>
        <v>0</v>
      </c>
      <c r="BJ51" s="340">
        <f>'PPA MLP'!BI101</f>
        <v>0</v>
      </c>
      <c r="BK51" s="340">
        <f>'PPA MLP'!BJ101</f>
        <v>0</v>
      </c>
      <c r="BL51" s="340">
        <f>'PPA MLP'!BK101</f>
        <v>0</v>
      </c>
      <c r="BM51" s="340">
        <f>'PPA MLP'!BL101</f>
        <v>135488.14499999999</v>
      </c>
      <c r="BN51" s="340">
        <f>'PPA MLP'!BM101</f>
        <v>0</v>
      </c>
      <c r="BO51" s="340">
        <f>'PPA MLP'!BN101</f>
        <v>0</v>
      </c>
      <c r="BP51" s="341">
        <f t="shared" ref="BP51" si="111">SUM(BD51:BO51)</f>
        <v>225404.50599999999</v>
      </c>
      <c r="BQ51" s="341">
        <f t="shared" ref="BQ51" si="112">P51+AC51+AP51+BC51+BP51</f>
        <v>576142.15599999996</v>
      </c>
      <c r="BR51" s="54"/>
    </row>
    <row r="52" spans="1:70" ht="13.5" customHeight="1">
      <c r="A52" s="4"/>
      <c r="B52" s="162" t="s">
        <v>1020</v>
      </c>
      <c r="C52" s="377"/>
      <c r="D52" s="340">
        <v>0</v>
      </c>
      <c r="E52" s="340">
        <v>0</v>
      </c>
      <c r="F52" s="340">
        <v>0</v>
      </c>
      <c r="G52" s="340">
        <v>0</v>
      </c>
      <c r="H52" s="340">
        <v>0</v>
      </c>
      <c r="I52" s="340">
        <v>0</v>
      </c>
      <c r="J52" s="340">
        <v>0</v>
      </c>
      <c r="K52" s="340">
        <v>0</v>
      </c>
      <c r="L52" s="340">
        <v>0</v>
      </c>
      <c r="M52" s="340">
        <v>0</v>
      </c>
      <c r="N52" s="340">
        <v>0</v>
      </c>
      <c r="O52" s="340">
        <v>0</v>
      </c>
      <c r="P52" s="341">
        <f>SUM(D52:O52)</f>
        <v>0</v>
      </c>
      <c r="Q52" s="340">
        <v>0</v>
      </c>
      <c r="R52" s="340">
        <v>0</v>
      </c>
      <c r="S52" s="340">
        <v>0</v>
      </c>
      <c r="T52" s="340">
        <v>0</v>
      </c>
      <c r="U52" s="340">
        <v>0</v>
      </c>
      <c r="V52" s="340">
        <f>-'Pipeline (Projected)'!$K$27/12</f>
        <v>2291.6666666666674</v>
      </c>
      <c r="W52" s="340">
        <f>-'Pipeline (Projected)'!$K$27/12</f>
        <v>2291.6666666666674</v>
      </c>
      <c r="X52" s="340">
        <f>-'Pipeline (Projected)'!$K$27/12</f>
        <v>2291.6666666666674</v>
      </c>
      <c r="Y52" s="340">
        <f>-'Pipeline (Projected)'!$K$27/12</f>
        <v>2291.6666666666674</v>
      </c>
      <c r="Z52" s="340">
        <f>-'Pipeline (Projected)'!$K$28/12</f>
        <v>114583.33333333333</v>
      </c>
      <c r="AA52" s="340">
        <f>-'Pipeline (Projected)'!$K$28/12</f>
        <v>114583.33333333333</v>
      </c>
      <c r="AB52" s="340">
        <f>-'Pipeline (Projected)'!$K$28/12</f>
        <v>114583.33333333333</v>
      </c>
      <c r="AC52" s="341">
        <f t="shared" ref="AC52:AC56" si="113">SUM(Q52:AB52)</f>
        <v>352916.66666666663</v>
      </c>
      <c r="AD52" s="340">
        <f>-'Pipeline (Projected)'!$K$28/12</f>
        <v>114583.33333333333</v>
      </c>
      <c r="AE52" s="340">
        <f>-'Pipeline (Projected)'!$K$28/12</f>
        <v>114583.33333333333</v>
      </c>
      <c r="AF52" s="340">
        <f>-'Pipeline (Projected)'!$K$28/12</f>
        <v>114583.33333333333</v>
      </c>
      <c r="AG52" s="340">
        <f>-'Pipeline (Projected)'!$K$28/12</f>
        <v>114583.33333333333</v>
      </c>
      <c r="AH52" s="340">
        <f>-'Pipeline (Projected)'!$K$28/12</f>
        <v>114583.33333333333</v>
      </c>
      <c r="AI52" s="340">
        <f>-'Pipeline (Projected)'!$K$28/12</f>
        <v>114583.33333333333</v>
      </c>
      <c r="AJ52" s="340">
        <f>-'Pipeline (Projected)'!$K$28/12</f>
        <v>114583.33333333333</v>
      </c>
      <c r="AK52" s="340">
        <f>-'Pipeline (Projected)'!$K$28/12</f>
        <v>114583.33333333333</v>
      </c>
      <c r="AL52" s="340">
        <f>-'Pipeline (Projected)'!$K$28/12</f>
        <v>114583.33333333333</v>
      </c>
      <c r="AM52" s="340">
        <f>-'Pipeline (Projected)'!$K$29/12</f>
        <v>330000</v>
      </c>
      <c r="AN52" s="340">
        <f>-'Pipeline (Projected)'!$K$29/12</f>
        <v>330000</v>
      </c>
      <c r="AO52" s="340">
        <f>-'Pipeline (Projected)'!$K$29/12</f>
        <v>330000</v>
      </c>
      <c r="AP52" s="341">
        <f t="shared" ref="AP52:AP56" si="114">SUM(AD52:AO52)</f>
        <v>2021250</v>
      </c>
      <c r="AQ52" s="340">
        <f>-'Pipeline (Projected)'!$K$29/12</f>
        <v>330000</v>
      </c>
      <c r="AR52" s="340">
        <f>-'Pipeline (Projected)'!$K$29/12</f>
        <v>330000</v>
      </c>
      <c r="AS52" s="340">
        <f>-'Pipeline (Projected)'!$K$29/12</f>
        <v>330000</v>
      </c>
      <c r="AT52" s="340">
        <f>-'Pipeline (Projected)'!$K$29/12</f>
        <v>330000</v>
      </c>
      <c r="AU52" s="340">
        <f>-'Pipeline (Projected)'!$K$29/12</f>
        <v>330000</v>
      </c>
      <c r="AV52" s="340">
        <f>-'Pipeline (Projected)'!$K$29/12</f>
        <v>330000</v>
      </c>
      <c r="AW52" s="340">
        <f>-'Pipeline (Projected)'!$K$29/12</f>
        <v>330000</v>
      </c>
      <c r="AX52" s="340">
        <f>-'Pipeline (Projected)'!$K$29/12</f>
        <v>330000</v>
      </c>
      <c r="AY52" s="340">
        <f>-'Pipeline (Projected)'!$K$29/12</f>
        <v>330000</v>
      </c>
      <c r="AZ52" s="340">
        <f>-'Pipeline (Projected)'!$K$30/12</f>
        <v>545416.66666666663</v>
      </c>
      <c r="BA52" s="340">
        <f>-'Pipeline (Projected)'!$K$30/12</f>
        <v>545416.66666666663</v>
      </c>
      <c r="BB52" s="340">
        <f>-'Pipeline (Projected)'!$K$30/12</f>
        <v>545416.66666666663</v>
      </c>
      <c r="BC52" s="341">
        <f>SUM(AQ52:BB52)</f>
        <v>4606250</v>
      </c>
      <c r="BD52" s="340">
        <f>-'Pipeline (Projected)'!$K$30/12</f>
        <v>545416.66666666663</v>
      </c>
      <c r="BE52" s="340">
        <f>-'Pipeline (Projected)'!$K$30/12</f>
        <v>545416.66666666663</v>
      </c>
      <c r="BF52" s="340">
        <f>-'Pipeline (Projected)'!$K$30/12</f>
        <v>545416.66666666663</v>
      </c>
      <c r="BG52" s="340">
        <f>-'Pipeline (Projected)'!$K$31/12</f>
        <v>760833.33333333337</v>
      </c>
      <c r="BH52" s="340">
        <f>-'Pipeline (Projected)'!$K$31/12</f>
        <v>760833.33333333337</v>
      </c>
      <c r="BI52" s="340">
        <f>-'Pipeline (Projected)'!$K$31/12</f>
        <v>760833.33333333337</v>
      </c>
      <c r="BJ52" s="340">
        <f>-'Pipeline (Projected)'!$K$31/12</f>
        <v>760833.33333333337</v>
      </c>
      <c r="BK52" s="340">
        <f>-'Pipeline (Projected)'!$K$31/12</f>
        <v>760833.33333333337</v>
      </c>
      <c r="BL52" s="340">
        <f>-'Pipeline (Projected)'!$K$31/12</f>
        <v>760833.33333333337</v>
      </c>
      <c r="BM52" s="340">
        <f>-'Pipeline (Projected)'!$K$31/12</f>
        <v>760833.33333333337</v>
      </c>
      <c r="BN52" s="340">
        <f>-'Pipeline (Projected)'!$K$31/12</f>
        <v>760833.33333333337</v>
      </c>
      <c r="BO52" s="340">
        <f>-'Pipeline (Projected)'!$K$31/12</f>
        <v>760833.33333333337</v>
      </c>
      <c r="BP52" s="341">
        <f t="shared" ref="BP52:BP56" si="115">SUM(BD52:BO52)</f>
        <v>8483750</v>
      </c>
      <c r="BQ52" s="341">
        <f t="shared" si="102"/>
        <v>15464166.666666666</v>
      </c>
      <c r="BR52" s="54"/>
    </row>
    <row r="53" spans="1:70" ht="13.5" customHeight="1">
      <c r="A53" s="4"/>
      <c r="B53" s="162" t="s">
        <v>1158</v>
      </c>
      <c r="C53" s="391">
        <v>0.1</v>
      </c>
      <c r="D53" s="340">
        <f>D$17*$C$53</f>
        <v>0</v>
      </c>
      <c r="E53" s="340">
        <f t="shared" ref="E53:O53" si="116">E$17*$C$53</f>
        <v>0</v>
      </c>
      <c r="F53" s="340">
        <f t="shared" si="116"/>
        <v>0</v>
      </c>
      <c r="G53" s="340">
        <f t="shared" si="116"/>
        <v>0</v>
      </c>
      <c r="H53" s="340">
        <f t="shared" si="116"/>
        <v>0</v>
      </c>
      <c r="I53" s="340">
        <f t="shared" si="116"/>
        <v>0</v>
      </c>
      <c r="J53" s="340">
        <f t="shared" si="116"/>
        <v>0</v>
      </c>
      <c r="K53" s="340">
        <f t="shared" si="116"/>
        <v>0</v>
      </c>
      <c r="L53" s="340">
        <f t="shared" si="116"/>
        <v>0</v>
      </c>
      <c r="M53" s="340">
        <f t="shared" si="116"/>
        <v>0</v>
      </c>
      <c r="N53" s="340">
        <f t="shared" si="116"/>
        <v>0</v>
      </c>
      <c r="O53" s="340">
        <f t="shared" si="116"/>
        <v>0</v>
      </c>
      <c r="P53" s="341">
        <f>SUM(D53:O53)</f>
        <v>0</v>
      </c>
      <c r="Q53" s="340">
        <f t="shared" ref="Q53:AB53" si="117">Q$17*$C$53</f>
        <v>0</v>
      </c>
      <c r="R53" s="340">
        <f t="shared" si="117"/>
        <v>0</v>
      </c>
      <c r="S53" s="340">
        <f t="shared" si="117"/>
        <v>0</v>
      </c>
      <c r="T53" s="340">
        <f t="shared" si="117"/>
        <v>18892.125</v>
      </c>
      <c r="U53" s="340">
        <f t="shared" si="117"/>
        <v>18892.125</v>
      </c>
      <c r="V53" s="340">
        <f t="shared" si="117"/>
        <v>18892.125</v>
      </c>
      <c r="W53" s="340">
        <f t="shared" si="117"/>
        <v>18892.125</v>
      </c>
      <c r="X53" s="340">
        <f t="shared" si="117"/>
        <v>18892.125</v>
      </c>
      <c r="Y53" s="340">
        <f t="shared" si="117"/>
        <v>18892.125</v>
      </c>
      <c r="Z53" s="340">
        <f t="shared" si="117"/>
        <v>18892.125</v>
      </c>
      <c r="AA53" s="340">
        <f t="shared" si="117"/>
        <v>18892.125</v>
      </c>
      <c r="AB53" s="340">
        <f t="shared" si="117"/>
        <v>18892.125</v>
      </c>
      <c r="AC53" s="341">
        <f t="shared" ref="AC53" si="118">SUM(Q53:AB53)</f>
        <v>170029.125</v>
      </c>
      <c r="AD53" s="340">
        <f t="shared" ref="AD53:AO53" si="119">AD$17*$C$53</f>
        <v>18892.125</v>
      </c>
      <c r="AE53" s="340">
        <f t="shared" si="119"/>
        <v>18892.125</v>
      </c>
      <c r="AF53" s="340">
        <f t="shared" si="119"/>
        <v>18892.125</v>
      </c>
      <c r="AG53" s="340">
        <f t="shared" si="119"/>
        <v>45341.100000000006</v>
      </c>
      <c r="AH53" s="340">
        <f t="shared" si="119"/>
        <v>45341.100000000006</v>
      </c>
      <c r="AI53" s="340">
        <f t="shared" si="119"/>
        <v>45341.100000000006</v>
      </c>
      <c r="AJ53" s="340">
        <f t="shared" si="119"/>
        <v>45341.100000000006</v>
      </c>
      <c r="AK53" s="340">
        <f t="shared" si="119"/>
        <v>45341.100000000006</v>
      </c>
      <c r="AL53" s="340">
        <f t="shared" si="119"/>
        <v>45341.100000000006</v>
      </c>
      <c r="AM53" s="340">
        <f t="shared" si="119"/>
        <v>45341.100000000006</v>
      </c>
      <c r="AN53" s="340">
        <f t="shared" si="119"/>
        <v>45341.100000000006</v>
      </c>
      <c r="AO53" s="340">
        <f t="shared" si="119"/>
        <v>45341.100000000006</v>
      </c>
      <c r="AP53" s="341">
        <f t="shared" ref="AP53" si="120">SUM(AD53:AO53)</f>
        <v>464746.27499999991</v>
      </c>
      <c r="AQ53" s="340">
        <f t="shared" ref="AQ53:BB53" si="121">AQ$17*$C$53</f>
        <v>45341.100000000006</v>
      </c>
      <c r="AR53" s="340">
        <f t="shared" si="121"/>
        <v>45341.100000000006</v>
      </c>
      <c r="AS53" s="340">
        <f t="shared" si="121"/>
        <v>45341.100000000006</v>
      </c>
      <c r="AT53" s="340">
        <f t="shared" si="121"/>
        <v>81613.980000000025</v>
      </c>
      <c r="AU53" s="340">
        <f t="shared" si="121"/>
        <v>81613.980000000025</v>
      </c>
      <c r="AV53" s="340">
        <f t="shared" si="121"/>
        <v>81613.980000000025</v>
      </c>
      <c r="AW53" s="340">
        <f t="shared" si="121"/>
        <v>81613.980000000025</v>
      </c>
      <c r="AX53" s="340">
        <f t="shared" si="121"/>
        <v>81613.980000000025</v>
      </c>
      <c r="AY53" s="340">
        <f t="shared" si="121"/>
        <v>81613.980000000025</v>
      </c>
      <c r="AZ53" s="340">
        <f t="shared" si="121"/>
        <v>81613.980000000025</v>
      </c>
      <c r="BA53" s="340">
        <f t="shared" si="121"/>
        <v>81613.980000000025</v>
      </c>
      <c r="BB53" s="340">
        <f t="shared" si="121"/>
        <v>81613.980000000025</v>
      </c>
      <c r="BC53" s="341">
        <f>SUM(AQ53:BB53)</f>
        <v>870549.12000000011</v>
      </c>
      <c r="BD53" s="340">
        <f t="shared" ref="BD53:BO53" si="122">BD$17*$C$53</f>
        <v>81613.980000000025</v>
      </c>
      <c r="BE53" s="340">
        <f t="shared" si="122"/>
        <v>81613.980000000025</v>
      </c>
      <c r="BF53" s="340">
        <f t="shared" si="122"/>
        <v>81613.980000000025</v>
      </c>
      <c r="BG53" s="340">
        <f t="shared" si="122"/>
        <v>81613.980000000025</v>
      </c>
      <c r="BH53" s="340">
        <f t="shared" si="122"/>
        <v>81613.980000000025</v>
      </c>
      <c r="BI53" s="340">
        <f t="shared" si="122"/>
        <v>81613.980000000025</v>
      </c>
      <c r="BJ53" s="340">
        <f t="shared" si="122"/>
        <v>81613.980000000025</v>
      </c>
      <c r="BK53" s="340">
        <f t="shared" si="122"/>
        <v>81613.980000000025</v>
      </c>
      <c r="BL53" s="340">
        <f t="shared" si="122"/>
        <v>81613.980000000025</v>
      </c>
      <c r="BM53" s="340">
        <f t="shared" si="122"/>
        <v>81613.980000000025</v>
      </c>
      <c r="BN53" s="340">
        <f t="shared" si="122"/>
        <v>81613.980000000025</v>
      </c>
      <c r="BO53" s="340">
        <f t="shared" si="122"/>
        <v>81613.980000000025</v>
      </c>
      <c r="BP53" s="341">
        <f t="shared" ref="BP53" si="123">SUM(BD53:BO53)</f>
        <v>979367.76000000013</v>
      </c>
      <c r="BQ53" s="341">
        <f t="shared" ref="BQ53" si="124">P53+AC53+AP53+BC53+BP53</f>
        <v>2484692.2800000003</v>
      </c>
      <c r="BR53" s="54"/>
    </row>
    <row r="54" spans="1:70" ht="13.5" customHeight="1">
      <c r="A54" s="4"/>
      <c r="B54" s="377" t="s">
        <v>573</v>
      </c>
      <c r="C54" s="377"/>
      <c r="D54" s="340">
        <f>D19*'Model Assumptions'!$D$10</f>
        <v>0</v>
      </c>
      <c r="E54" s="340">
        <f>E19*'Model Assumptions'!$D$10</f>
        <v>0</v>
      </c>
      <c r="F54" s="340">
        <f>F19*'Model Assumptions'!$D$10</f>
        <v>0</v>
      </c>
      <c r="G54" s="340">
        <f>G19*'Model Assumptions'!$D$10</f>
        <v>0</v>
      </c>
      <c r="H54" s="340">
        <f>H19*'Model Assumptions'!$D$10</f>
        <v>0</v>
      </c>
      <c r="I54" s="340">
        <f>I19*'Model Assumptions'!$D$10</f>
        <v>0</v>
      </c>
      <c r="J54" s="340">
        <f>J19*'Model Assumptions'!$D$10</f>
        <v>0</v>
      </c>
      <c r="K54" s="340">
        <f>K19*'Model Assumptions'!$D$10</f>
        <v>0</v>
      </c>
      <c r="L54" s="340">
        <f>L19*'Model Assumptions'!$D$10</f>
        <v>0</v>
      </c>
      <c r="M54" s="340">
        <f>M19*'Model Assumptions'!$D$10</f>
        <v>0</v>
      </c>
      <c r="N54" s="340">
        <f>N19*'Model Assumptions'!$D$10</f>
        <v>0</v>
      </c>
      <c r="O54" s="340">
        <f>O19*'Model Assumptions'!$D$10</f>
        <v>0</v>
      </c>
      <c r="P54" s="341">
        <f t="shared" ref="P54:P55" si="125">SUM(H54:O54)</f>
        <v>0</v>
      </c>
      <c r="Q54" s="340">
        <f>Q19*'Model Assumptions'!$D$10</f>
        <v>4500</v>
      </c>
      <c r="R54" s="340">
        <f>R19*'Model Assumptions'!$D$10</f>
        <v>4950</v>
      </c>
      <c r="S54" s="340">
        <f>S19*'Model Assumptions'!$D$10</f>
        <v>5445.0000000000009</v>
      </c>
      <c r="T54" s="340">
        <f>T19*'Model Assumptions'!$D$10</f>
        <v>5989.5000000000018</v>
      </c>
      <c r="U54" s="340">
        <f>U19*'Model Assumptions'!$D$10</f>
        <v>6588.4500000000025</v>
      </c>
      <c r="V54" s="340">
        <f>V19*'Model Assumptions'!$D$10</f>
        <v>7247.2950000000037</v>
      </c>
      <c r="W54" s="340">
        <f>W19*'Model Assumptions'!$D$10</f>
        <v>7972.024500000005</v>
      </c>
      <c r="X54" s="340">
        <f>X19*'Model Assumptions'!$D$10</f>
        <v>8769.2269500000057</v>
      </c>
      <c r="Y54" s="340">
        <f>Y19*'Model Assumptions'!$D$10</f>
        <v>9646.1496450000068</v>
      </c>
      <c r="Z54" s="340">
        <f>Z19*'Model Assumptions'!$D$10</f>
        <v>10610.764609500009</v>
      </c>
      <c r="AA54" s="340">
        <f>AA19*'Model Assumptions'!$D$10</f>
        <v>11671.841070450011</v>
      </c>
      <c r="AB54" s="340">
        <f>AB19*'Model Assumptions'!$D$10</f>
        <v>12839.025177495014</v>
      </c>
      <c r="AC54" s="341">
        <f t="shared" si="113"/>
        <v>96229.27695244507</v>
      </c>
      <c r="AD54" s="340">
        <f>AD19*'Model Assumptions'!$D$10</f>
        <v>14122.927695244516</v>
      </c>
      <c r="AE54" s="340">
        <f>AE19*'Model Assumptions'!$D$10</f>
        <v>15535.22046476897</v>
      </c>
      <c r="AF54" s="340">
        <f>AF19*'Model Assumptions'!$D$10</f>
        <v>17088.742511245866</v>
      </c>
      <c r="AG54" s="340">
        <f>AG19*'Model Assumptions'!$D$10</f>
        <v>18797.616762370457</v>
      </c>
      <c r="AH54" s="340">
        <f>AH19*'Model Assumptions'!$D$10</f>
        <v>20677.378438607502</v>
      </c>
      <c r="AI54" s="340">
        <f>AI19*'Model Assumptions'!$D$10</f>
        <v>22745.116282468254</v>
      </c>
      <c r="AJ54" s="340">
        <f>AJ19*'Model Assumptions'!$D$10</f>
        <v>25019.627910715084</v>
      </c>
      <c r="AK54" s="340">
        <f>AK19*'Model Assumptions'!$D$10</f>
        <v>27521.590701786594</v>
      </c>
      <c r="AL54" s="340">
        <f>AL19*'Model Assumptions'!$D$10</f>
        <v>30273.749771965257</v>
      </c>
      <c r="AM54" s="340">
        <f>AM19*'Model Assumptions'!$D$10</f>
        <v>33301.124749161783</v>
      </c>
      <c r="AN54" s="340">
        <f>AN19*'Model Assumptions'!$D$10</f>
        <v>36631.237224077966</v>
      </c>
      <c r="AO54" s="340">
        <f>AO19*'Model Assumptions'!$D$10</f>
        <v>40294.360946485765</v>
      </c>
      <c r="AP54" s="341">
        <f t="shared" si="114"/>
        <v>302008.69345889805</v>
      </c>
      <c r="AQ54" s="340">
        <f>AQ19*'Model Assumptions'!$D$10</f>
        <v>44323.797041134349</v>
      </c>
      <c r="AR54" s="340">
        <f>AR19*'Model Assumptions'!$D$10</f>
        <v>48756.17674524778</v>
      </c>
      <c r="AS54" s="340">
        <f>AS19*'Model Assumptions'!$D$10</f>
        <v>53631.794419772559</v>
      </c>
      <c r="AT54" s="340">
        <f>AT19*'Model Assumptions'!$D$10</f>
        <v>58994.973861749822</v>
      </c>
      <c r="AU54" s="340">
        <f>AU19*'Model Assumptions'!$D$10</f>
        <v>64894.471247924812</v>
      </c>
      <c r="AV54" s="340">
        <f>AV19*'Model Assumptions'!$D$10</f>
        <v>71383.918372717308</v>
      </c>
      <c r="AW54" s="340">
        <f>AW19*'Model Assumptions'!$D$10</f>
        <v>78522.310209989038</v>
      </c>
      <c r="AX54" s="340">
        <f>AX19*'Model Assumptions'!$D$10</f>
        <v>86374.541230987961</v>
      </c>
      <c r="AY54" s="340">
        <f>AY19*'Model Assumptions'!$D$10</f>
        <v>95011.995354086757</v>
      </c>
      <c r="AZ54" s="340">
        <f>AZ19*'Model Assumptions'!$D$10</f>
        <v>104513.19488949544</v>
      </c>
      <c r="BA54" s="340">
        <f>BA19*'Model Assumptions'!$D$10</f>
        <v>114964.51437844499</v>
      </c>
      <c r="BB54" s="340">
        <f>BB19*'Model Assumptions'!$D$10</f>
        <v>126460.96581628949</v>
      </c>
      <c r="BC54" s="341">
        <f t="shared" ref="BC54:BC56" si="126">SUM(AQ54:BB54)</f>
        <v>947832.65356784023</v>
      </c>
      <c r="BD54" s="340">
        <f>BD19*'Model Assumptions'!$D$10</f>
        <v>139107.06239791846</v>
      </c>
      <c r="BE54" s="340">
        <f>BE19*'Model Assumptions'!$D$10</f>
        <v>153017.76863771034</v>
      </c>
      <c r="BF54" s="340">
        <f>BF19*'Model Assumptions'!$D$10</f>
        <v>168319.54550148136</v>
      </c>
      <c r="BG54" s="340">
        <f>BG19*'Model Assumptions'!$D$10</f>
        <v>185151.50005162953</v>
      </c>
      <c r="BH54" s="340">
        <f>BH19*'Model Assumptions'!$D$10</f>
        <v>203666.65005679251</v>
      </c>
      <c r="BI54" s="340">
        <f>BI19*'Model Assumptions'!$D$10</f>
        <v>224033.31506247178</v>
      </c>
      <c r="BJ54" s="340">
        <f>BJ19*'Model Assumptions'!$D$10</f>
        <v>246436.64656871895</v>
      </c>
      <c r="BK54" s="340">
        <f>BK19*'Model Assumptions'!$D$10</f>
        <v>271080.31122559088</v>
      </c>
      <c r="BL54" s="340">
        <f>BL19*'Model Assumptions'!$D$10</f>
        <v>298188.34234814998</v>
      </c>
      <c r="BM54" s="340">
        <f>BM19*'Model Assumptions'!$D$10</f>
        <v>328007.17658296495</v>
      </c>
      <c r="BN54" s="340">
        <f>BN19*'Model Assumptions'!$D$10</f>
        <v>360807.89424126147</v>
      </c>
      <c r="BO54" s="340">
        <f>BO19*'Model Assumptions'!$D$10</f>
        <v>396888.68366538762</v>
      </c>
      <c r="BP54" s="341">
        <f t="shared" si="115"/>
        <v>2974704.8963400777</v>
      </c>
      <c r="BQ54" s="341">
        <f t="shared" si="102"/>
        <v>4320775.5203192607</v>
      </c>
      <c r="BR54" s="54"/>
    </row>
    <row r="55" spans="1:70" ht="13.5" customHeight="1">
      <c r="A55" s="4"/>
      <c r="B55" s="377" t="s">
        <v>574</v>
      </c>
      <c r="C55" s="377"/>
      <c r="D55" s="340">
        <v>0</v>
      </c>
      <c r="E55" s="340">
        <v>0</v>
      </c>
      <c r="F55" s="340">
        <v>0</v>
      </c>
      <c r="G55" s="340">
        <f>SUM(D20:F20)*'Model Assumptions'!$D$11</f>
        <v>0</v>
      </c>
      <c r="H55" s="340">
        <v>0</v>
      </c>
      <c r="I55" s="340">
        <v>0</v>
      </c>
      <c r="J55" s="340">
        <f>SUM(G20:I20)*'Model Assumptions'!$D$11</f>
        <v>0</v>
      </c>
      <c r="K55" s="340">
        <v>0</v>
      </c>
      <c r="L55" s="340">
        <v>0</v>
      </c>
      <c r="M55" s="340">
        <f>SUM(J20:L20)*'Model Assumptions'!$D$11</f>
        <v>0</v>
      </c>
      <c r="N55" s="340">
        <v>0</v>
      </c>
      <c r="O55" s="340">
        <v>0</v>
      </c>
      <c r="P55" s="341">
        <f t="shared" si="125"/>
        <v>0</v>
      </c>
      <c r="Q55" s="340">
        <f>(M20+N20+O20)*'Model Assumptions'!$D$11</f>
        <v>0</v>
      </c>
      <c r="R55" s="340">
        <v>0</v>
      </c>
      <c r="S55" s="340">
        <v>0</v>
      </c>
      <c r="T55" s="340">
        <f>SUM(Q20:S20)*'Model Assumptions'!$D$11</f>
        <v>67500</v>
      </c>
      <c r="U55" s="340">
        <v>0</v>
      </c>
      <c r="V55" s="340">
        <v>0</v>
      </c>
      <c r="W55" s="340">
        <f>SUM(T20:V20)*'Model Assumptions'!$D$11</f>
        <v>67500</v>
      </c>
      <c r="X55" s="340">
        <v>0</v>
      </c>
      <c r="Y55" s="340">
        <v>0</v>
      </c>
      <c r="Z55" s="340">
        <f>SUM(W20:Y20)*'Model Assumptions'!$D$11</f>
        <v>67500</v>
      </c>
      <c r="AA55" s="340">
        <v>0</v>
      </c>
      <c r="AB55" s="340">
        <v>0</v>
      </c>
      <c r="AC55" s="341">
        <f t="shared" ref="AC55" si="127">SUM(U55:AB55)</f>
        <v>135000</v>
      </c>
      <c r="AD55" s="340">
        <f>(Z20+AA20+AB20)*'Model Assumptions'!$D$11</f>
        <v>67500</v>
      </c>
      <c r="AE55" s="340">
        <v>0</v>
      </c>
      <c r="AF55" s="340">
        <v>0</v>
      </c>
      <c r="AG55" s="340">
        <f>SUM(AD20:AF20)*'Model Assumptions'!$D$11</f>
        <v>77398.717499999999</v>
      </c>
      <c r="AH55" s="340">
        <v>0</v>
      </c>
      <c r="AI55" s="340">
        <v>0</v>
      </c>
      <c r="AJ55" s="340">
        <f>SUM(AG20:AI20)*'Model Assumptions'!$D$11</f>
        <v>94816.757082352517</v>
      </c>
      <c r="AK55" s="340">
        <v>0</v>
      </c>
      <c r="AL55" s="340">
        <v>0</v>
      </c>
      <c r="AM55" s="340">
        <f>SUM(AJ20:AL20)*'Model Assumptions'!$D$11</f>
        <v>116154.60454643643</v>
      </c>
      <c r="AN55" s="340">
        <v>0</v>
      </c>
      <c r="AO55" s="340">
        <v>0</v>
      </c>
      <c r="AP55" s="341">
        <f t="shared" ref="AP55" si="128">SUM(AH55:AO55)</f>
        <v>210971.36162878893</v>
      </c>
      <c r="AQ55" s="340">
        <f>(AM20+AN20+AO20)*'Model Assumptions'!$D$11</f>
        <v>142294.38521738016</v>
      </c>
      <c r="AR55" s="340">
        <v>0</v>
      </c>
      <c r="AS55" s="340">
        <v>0</v>
      </c>
      <c r="AT55" s="340">
        <f>SUM(AQ20:AS20)*'Model Assumptions'!$D$11</f>
        <v>174316.74054985508</v>
      </c>
      <c r="AU55" s="340">
        <v>0</v>
      </c>
      <c r="AV55" s="340">
        <v>0</v>
      </c>
      <c r="AW55" s="340">
        <f>SUM(AT20:AV20)*'Model Assumptions'!$D$11</f>
        <v>213545.50279341615</v>
      </c>
      <c r="AX55" s="340">
        <v>0</v>
      </c>
      <c r="AY55" s="340">
        <v>0</v>
      </c>
      <c r="AZ55" s="340">
        <f>SUM(AW20:AY20)*'Model Assumptions'!$D$11</f>
        <v>261602.42337855502</v>
      </c>
      <c r="BA55" s="340">
        <v>0</v>
      </c>
      <c r="BB55" s="340">
        <v>0</v>
      </c>
      <c r="BC55" s="341">
        <f t="shared" ref="BC55" si="129">SUM(AU55:BB55)</f>
        <v>475147.92617197114</v>
      </c>
      <c r="BD55" s="340">
        <f>(AZ20+BA20+BB20)*'Model Assumptions'!$D$11</f>
        <v>320474.21754293528</v>
      </c>
      <c r="BE55" s="340">
        <f>BE20*'Model Assumptions'!$D$11</f>
        <v>130665.44081095883</v>
      </c>
      <c r="BF55" s="340">
        <f>BF20*'Model Assumptions'!$D$11</f>
        <v>139812.02166772596</v>
      </c>
      <c r="BG55" s="340">
        <f>BG20*'Model Assumptions'!$D$11</f>
        <v>149598.86318446678</v>
      </c>
      <c r="BH55" s="340">
        <f>BH20*'Model Assumptions'!$D$11</f>
        <v>160070.78360737945</v>
      </c>
      <c r="BI55" s="340">
        <f>BI20*'Model Assumptions'!$D$11</f>
        <v>171275.73845989603</v>
      </c>
      <c r="BJ55" s="340">
        <f>BJ20*'Model Assumptions'!$D$11</f>
        <v>183265.04015208874</v>
      </c>
      <c r="BK55" s="340">
        <f>BK20*'Model Assumptions'!$D$11</f>
        <v>196093.59296273498</v>
      </c>
      <c r="BL55" s="340">
        <f>BL20*'Model Assumptions'!$D$11</f>
        <v>209820.14447012643</v>
      </c>
      <c r="BM55" s="340">
        <f>BM20*'Model Assumptions'!$D$11</f>
        <v>224507.55458303529</v>
      </c>
      <c r="BN55" s="340">
        <f>BN20*'Model Assumptions'!$D$11</f>
        <v>240223.08340384776</v>
      </c>
      <c r="BO55" s="340">
        <f>BO20*'Model Assumptions'!$D$11</f>
        <v>257038.69924211712</v>
      </c>
      <c r="BP55" s="341">
        <f t="shared" si="115"/>
        <v>2382845.1800873121</v>
      </c>
      <c r="BQ55" s="341">
        <f t="shared" si="102"/>
        <v>3203964.4678880721</v>
      </c>
      <c r="BR55" s="54"/>
    </row>
    <row r="56" spans="1:70" ht="13.5" customHeight="1">
      <c r="A56" s="55"/>
      <c r="B56" s="381" t="s">
        <v>575</v>
      </c>
      <c r="C56" s="388"/>
      <c r="D56" s="340">
        <f>D21*'Model Assumptions'!$D$12</f>
        <v>0</v>
      </c>
      <c r="E56" s="340">
        <f>E21*'Model Assumptions'!$D$12</f>
        <v>0</v>
      </c>
      <c r="F56" s="340">
        <f>F21*'Model Assumptions'!$D$12</f>
        <v>0</v>
      </c>
      <c r="G56" s="340">
        <f>G21*'Model Assumptions'!$D$12</f>
        <v>0</v>
      </c>
      <c r="H56" s="340">
        <f>H21*'Model Assumptions'!$D$12</f>
        <v>0</v>
      </c>
      <c r="I56" s="340">
        <f>I21*'Model Assumptions'!$D$12</f>
        <v>0</v>
      </c>
      <c r="J56" s="340">
        <f>J21*'Model Assumptions'!$D$12</f>
        <v>0</v>
      </c>
      <c r="K56" s="340">
        <f>K21*'Model Assumptions'!$D$12</f>
        <v>0</v>
      </c>
      <c r="L56" s="340">
        <f>L21*'Model Assumptions'!$D$12</f>
        <v>0</v>
      </c>
      <c r="M56" s="340">
        <f>M21*'Model Assumptions'!$D$12</f>
        <v>0</v>
      </c>
      <c r="N56" s="340">
        <f>N21*'Model Assumptions'!$D$12</f>
        <v>0</v>
      </c>
      <c r="O56" s="340">
        <f>O21*'Model Assumptions'!$D$12</f>
        <v>0</v>
      </c>
      <c r="P56" s="341">
        <f>SUM(D56:O56)</f>
        <v>0</v>
      </c>
      <c r="Q56" s="340">
        <f>Q21*'Model Assumptions'!$D$12</f>
        <v>6000</v>
      </c>
      <c r="R56" s="340">
        <f>R21*'Model Assumptions'!$D$12</f>
        <v>6600</v>
      </c>
      <c r="S56" s="340">
        <f>S21*'Model Assumptions'!$D$12</f>
        <v>7260.0000000000009</v>
      </c>
      <c r="T56" s="340">
        <f>T21*'Model Assumptions'!$D$12</f>
        <v>7986.0000000000018</v>
      </c>
      <c r="U56" s="340">
        <f>U21*'Model Assumptions'!$D$12</f>
        <v>8784.6000000000022</v>
      </c>
      <c r="V56" s="340">
        <f>V21*'Model Assumptions'!$D$12</f>
        <v>9663.0600000000049</v>
      </c>
      <c r="W56" s="340">
        <f>W21*'Model Assumptions'!$D$12</f>
        <v>10629.366000000007</v>
      </c>
      <c r="X56" s="340">
        <f>X21*'Model Assumptions'!$D$12</f>
        <v>11692.302600000008</v>
      </c>
      <c r="Y56" s="340">
        <f>Y21*'Model Assumptions'!$D$12</f>
        <v>12861.532860000008</v>
      </c>
      <c r="Z56" s="340">
        <f>Z21*'Model Assumptions'!$D$12</f>
        <v>14147.686146000011</v>
      </c>
      <c r="AA56" s="340">
        <f>AA21*'Model Assumptions'!$D$12</f>
        <v>15562.454760600014</v>
      </c>
      <c r="AB56" s="340">
        <f>AB21*'Model Assumptions'!$D$12</f>
        <v>17118.700236660017</v>
      </c>
      <c r="AC56" s="341">
        <f t="shared" si="113"/>
        <v>128305.70260326007</v>
      </c>
      <c r="AD56" s="340">
        <f>AD21*'Model Assumptions'!$D$12</f>
        <v>18830.570260326022</v>
      </c>
      <c r="AE56" s="340">
        <f>AE21*'Model Assumptions'!$D$12</f>
        <v>20713.627286358624</v>
      </c>
      <c r="AF56" s="340">
        <f>AF21*'Model Assumptions'!$D$12</f>
        <v>22784.990014994488</v>
      </c>
      <c r="AG56" s="340">
        <f>AG21*'Model Assumptions'!$D$12</f>
        <v>25063.489016493939</v>
      </c>
      <c r="AH56" s="340">
        <f>AH21*'Model Assumptions'!$D$12</f>
        <v>27569.837918143334</v>
      </c>
      <c r="AI56" s="340">
        <f>AI21*'Model Assumptions'!$D$12</f>
        <v>30326.821709957672</v>
      </c>
      <c r="AJ56" s="340">
        <f>AJ21*'Model Assumptions'!$D$12</f>
        <v>33359.503880953445</v>
      </c>
      <c r="AK56" s="340">
        <f>AK21*'Model Assumptions'!$D$12</f>
        <v>36695.454269048787</v>
      </c>
      <c r="AL56" s="340">
        <f>AL21*'Model Assumptions'!$D$12</f>
        <v>40364.999695953673</v>
      </c>
      <c r="AM56" s="340">
        <f>AM21*'Model Assumptions'!$D$12</f>
        <v>44401.499665549047</v>
      </c>
      <c r="AN56" s="340">
        <f>AN21*'Model Assumptions'!$D$12</f>
        <v>48841.649632103952</v>
      </c>
      <c r="AO56" s="340">
        <f>AO21*'Model Assumptions'!$D$12</f>
        <v>53725.814595314347</v>
      </c>
      <c r="AP56" s="341">
        <f t="shared" si="114"/>
        <v>402678.25794519734</v>
      </c>
      <c r="AQ56" s="340">
        <f>AQ21*'Model Assumptions'!$D$12</f>
        <v>59098.396054845791</v>
      </c>
      <c r="AR56" s="340">
        <f>AR21*'Model Assumptions'!$D$12</f>
        <v>65008.235660330371</v>
      </c>
      <c r="AS56" s="340">
        <f>AS21*'Model Assumptions'!$D$12</f>
        <v>71509.059226363417</v>
      </c>
      <c r="AT56" s="340">
        <f>AT21*'Model Assumptions'!$D$12</f>
        <v>78659.965148999749</v>
      </c>
      <c r="AU56" s="340">
        <f>AU21*'Model Assumptions'!$D$12</f>
        <v>86525.96166389974</v>
      </c>
      <c r="AV56" s="340">
        <f>AV21*'Model Assumptions'!$D$12</f>
        <v>95178.557830289734</v>
      </c>
      <c r="AW56" s="340">
        <f>AW21*'Model Assumptions'!$D$12</f>
        <v>104696.41361331871</v>
      </c>
      <c r="AX56" s="340">
        <f>AX21*'Model Assumptions'!$D$12</f>
        <v>115166.0549746506</v>
      </c>
      <c r="AY56" s="340">
        <f>AY21*'Model Assumptions'!$D$12</f>
        <v>126682.66047211566</v>
      </c>
      <c r="AZ56" s="340">
        <f>AZ21*'Model Assumptions'!$D$12</f>
        <v>139350.92651932724</v>
      </c>
      <c r="BA56" s="340">
        <f>BA21*'Model Assumptions'!$D$12</f>
        <v>153286.01917125998</v>
      </c>
      <c r="BB56" s="340">
        <f>BB21*'Model Assumptions'!$D$12</f>
        <v>168614.62108838599</v>
      </c>
      <c r="BC56" s="341">
        <f t="shared" si="126"/>
        <v>1263776.871423787</v>
      </c>
      <c r="BD56" s="340">
        <f>BD21*'Model Assumptions'!$D$12</f>
        <v>185476.08319722459</v>
      </c>
      <c r="BE56" s="340">
        <f>BE21*'Model Assumptions'!$D$12</f>
        <v>204023.69151694709</v>
      </c>
      <c r="BF56" s="340">
        <f>BF21*'Model Assumptions'!$D$12</f>
        <v>224426.06066864182</v>
      </c>
      <c r="BG56" s="340">
        <f>BG21*'Model Assumptions'!$D$12</f>
        <v>246868.66673550603</v>
      </c>
      <c r="BH56" s="340">
        <f>BH21*'Model Assumptions'!$D$12</f>
        <v>271555.53340905666</v>
      </c>
      <c r="BI56" s="340">
        <f>BI21*'Model Assumptions'!$D$12</f>
        <v>298711.08674996236</v>
      </c>
      <c r="BJ56" s="340">
        <f>BJ21*'Model Assumptions'!$D$12</f>
        <v>328582.1954249586</v>
      </c>
      <c r="BK56" s="340">
        <f>BK21*'Model Assumptions'!$D$12</f>
        <v>361440.41496745445</v>
      </c>
      <c r="BL56" s="340">
        <f>BL21*'Model Assumptions'!$D$12</f>
        <v>397584.45646419993</v>
      </c>
      <c r="BM56" s="340">
        <f>BM21*'Model Assumptions'!$D$12</f>
        <v>437342.90211061994</v>
      </c>
      <c r="BN56" s="340">
        <f>BN21*'Model Assumptions'!$D$12</f>
        <v>481077.19232168194</v>
      </c>
      <c r="BO56" s="340">
        <f>BO21*'Model Assumptions'!$D$12</f>
        <v>529184.91155385016</v>
      </c>
      <c r="BP56" s="341">
        <f t="shared" si="115"/>
        <v>3966273.1951201037</v>
      </c>
      <c r="BQ56" s="341">
        <f t="shared" si="102"/>
        <v>5761034.0270923479</v>
      </c>
      <c r="BR56" s="54"/>
    </row>
    <row r="57" spans="1:70" ht="13.5" customHeight="1">
      <c r="A57" s="57"/>
      <c r="B57" s="382" t="s">
        <v>76</v>
      </c>
      <c r="C57" s="382"/>
      <c r="D57" s="355">
        <f t="shared" ref="D57:AI57" si="130">SUM(D46:D56)</f>
        <v>0</v>
      </c>
      <c r="E57" s="355">
        <f t="shared" si="130"/>
        <v>0</v>
      </c>
      <c r="F57" s="355">
        <f t="shared" si="130"/>
        <v>0</v>
      </c>
      <c r="G57" s="355">
        <f t="shared" si="130"/>
        <v>0</v>
      </c>
      <c r="H57" s="355">
        <f t="shared" si="130"/>
        <v>0</v>
      </c>
      <c r="I57" s="355">
        <f t="shared" si="130"/>
        <v>0</v>
      </c>
      <c r="J57" s="355">
        <f t="shared" si="130"/>
        <v>0</v>
      </c>
      <c r="K57" s="355">
        <f t="shared" si="130"/>
        <v>0</v>
      </c>
      <c r="L57" s="355">
        <f t="shared" si="130"/>
        <v>0</v>
      </c>
      <c r="M57" s="355">
        <f t="shared" si="130"/>
        <v>0</v>
      </c>
      <c r="N57" s="355">
        <f t="shared" si="130"/>
        <v>430000</v>
      </c>
      <c r="O57" s="355">
        <f t="shared" si="130"/>
        <v>200000</v>
      </c>
      <c r="P57" s="356">
        <f t="shared" si="130"/>
        <v>630000</v>
      </c>
      <c r="Q57" s="355">
        <f t="shared" si="130"/>
        <v>516131.58550000004</v>
      </c>
      <c r="R57" s="355">
        <f t="shared" si="130"/>
        <v>11550</v>
      </c>
      <c r="S57" s="355">
        <f t="shared" si="130"/>
        <v>12705.000000000002</v>
      </c>
      <c r="T57" s="355">
        <f t="shared" si="130"/>
        <v>2286571.4490000005</v>
      </c>
      <c r="U57" s="355">
        <f t="shared" si="130"/>
        <v>34265.175000000003</v>
      </c>
      <c r="V57" s="355">
        <f t="shared" si="130"/>
        <v>88094.146666666667</v>
      </c>
      <c r="W57" s="355">
        <f t="shared" si="130"/>
        <v>243227.91416666668</v>
      </c>
      <c r="X57" s="355">
        <f t="shared" si="130"/>
        <v>71645.321216666678</v>
      </c>
      <c r="Y57" s="355">
        <f t="shared" si="130"/>
        <v>43691.474171666683</v>
      </c>
      <c r="Z57" s="355">
        <f t="shared" si="130"/>
        <v>1510030.3515888331</v>
      </c>
      <c r="AA57" s="355">
        <f t="shared" si="130"/>
        <v>260709.75416438334</v>
      </c>
      <c r="AB57" s="355">
        <f t="shared" si="130"/>
        <v>163433.18374748834</v>
      </c>
      <c r="AC57" s="356">
        <f t="shared" si="130"/>
        <v>5174555.3552223733</v>
      </c>
      <c r="AD57" s="355">
        <f t="shared" si="130"/>
        <v>3330918.6737889042</v>
      </c>
      <c r="AE57" s="355">
        <f t="shared" si="130"/>
        <v>169724.3060844609</v>
      </c>
      <c r="AF57" s="355">
        <f t="shared" si="130"/>
        <v>173349.19085957366</v>
      </c>
      <c r="AG57" s="355">
        <f t="shared" si="130"/>
        <v>417126.98861219775</v>
      </c>
      <c r="AH57" s="355">
        <f t="shared" si="130"/>
        <v>208171.64969008419</v>
      </c>
      <c r="AI57" s="355">
        <f t="shared" si="130"/>
        <v>212996.37132575928</v>
      </c>
      <c r="AJ57" s="355">
        <f t="shared" ref="AJ57:BO57" si="131">SUM(AJ46:AJ56)</f>
        <v>1773245.4183323544</v>
      </c>
      <c r="AK57" s="355">
        <f t="shared" si="131"/>
        <v>759700.47830416868</v>
      </c>
      <c r="AL57" s="355">
        <f t="shared" si="131"/>
        <v>230563.18280125229</v>
      </c>
      <c r="AM57" s="355">
        <f t="shared" si="131"/>
        <v>4730907.3106361479</v>
      </c>
      <c r="AN57" s="355">
        <f t="shared" si="131"/>
        <v>460813.98685618193</v>
      </c>
      <c r="AO57" s="355">
        <f t="shared" si="131"/>
        <v>469361.27554180007</v>
      </c>
      <c r="AP57" s="356">
        <f t="shared" si="131"/>
        <v>12791980.115332885</v>
      </c>
      <c r="AQ57" s="355">
        <f t="shared" si="131"/>
        <v>911301.50626336015</v>
      </c>
      <c r="AR57" s="355">
        <f t="shared" si="131"/>
        <v>489105.51240557816</v>
      </c>
      <c r="AS57" s="355">
        <f t="shared" si="131"/>
        <v>500481.95364613598</v>
      </c>
      <c r="AT57" s="355">
        <f t="shared" si="131"/>
        <v>723585.6595606046</v>
      </c>
      <c r="AU57" s="355">
        <f t="shared" si="131"/>
        <v>563034.41291182453</v>
      </c>
      <c r="AV57" s="355">
        <f t="shared" si="131"/>
        <v>578176.45620300702</v>
      </c>
      <c r="AW57" s="355">
        <f t="shared" si="131"/>
        <v>2572970.1812417242</v>
      </c>
      <c r="AX57" s="355">
        <f t="shared" si="131"/>
        <v>1246794.5762056385</v>
      </c>
      <c r="AY57" s="355">
        <f t="shared" si="131"/>
        <v>633308.63582620246</v>
      </c>
      <c r="AZ57" s="355">
        <f t="shared" si="131"/>
        <v>6126674.582879046</v>
      </c>
      <c r="BA57" s="355">
        <f t="shared" si="131"/>
        <v>895281.18021637155</v>
      </c>
      <c r="BB57" s="355">
        <f t="shared" si="131"/>
        <v>922106.23357134219</v>
      </c>
      <c r="BC57" s="356">
        <f t="shared" si="131"/>
        <v>15846209.7651636</v>
      </c>
      <c r="BD57" s="355">
        <f t="shared" si="131"/>
        <v>1738571.839304745</v>
      </c>
      <c r="BE57" s="355">
        <f t="shared" si="131"/>
        <v>1114737.5476322828</v>
      </c>
      <c r="BF57" s="355">
        <f t="shared" si="131"/>
        <v>1159588.2745045158</v>
      </c>
      <c r="BG57" s="355">
        <f t="shared" si="131"/>
        <v>1424066.3433049358</v>
      </c>
      <c r="BH57" s="355">
        <f t="shared" si="131"/>
        <v>1477740.2804065621</v>
      </c>
      <c r="BI57" s="355">
        <f t="shared" si="131"/>
        <v>1536467.4536056635</v>
      </c>
      <c r="BJ57" s="355">
        <f t="shared" si="131"/>
        <v>3560350.0486040995</v>
      </c>
      <c r="BK57" s="355">
        <f t="shared" si="131"/>
        <v>2402782.6324891136</v>
      </c>
      <c r="BL57" s="355">
        <f t="shared" si="131"/>
        <v>1748040.2566158096</v>
      </c>
      <c r="BM57" s="355">
        <f t="shared" si="131"/>
        <v>8000782.7325349543</v>
      </c>
      <c r="BN57" s="355">
        <f t="shared" si="131"/>
        <v>1924555.4833001243</v>
      </c>
      <c r="BO57" s="355">
        <f t="shared" si="131"/>
        <v>2365416.4434196884</v>
      </c>
      <c r="BP57" s="356">
        <f t="shared" ref="BP57:BQ57" si="132">SUM(BP46:BP56)</f>
        <v>28453099.335722491</v>
      </c>
      <c r="BQ57" s="356">
        <f t="shared" si="132"/>
        <v>62895844.571441345</v>
      </c>
      <c r="BR57" s="84"/>
    </row>
    <row r="58" spans="1:70" ht="13.5" customHeight="1">
      <c r="A58" s="4"/>
      <c r="B58" s="328"/>
      <c r="C58" s="328"/>
      <c r="D58" s="344"/>
      <c r="E58" s="344"/>
      <c r="F58" s="344"/>
      <c r="G58" s="344"/>
      <c r="H58" s="344"/>
      <c r="I58" s="344"/>
      <c r="J58" s="344"/>
      <c r="K58" s="344"/>
      <c r="L58" s="344"/>
      <c r="M58" s="344"/>
      <c r="N58" s="344"/>
      <c r="O58" s="344"/>
      <c r="P58" s="357"/>
      <c r="Q58" s="344"/>
      <c r="R58" s="344"/>
      <c r="S58" s="344"/>
      <c r="T58" s="344"/>
      <c r="U58" s="344"/>
      <c r="V58" s="344"/>
      <c r="W58" s="344"/>
      <c r="X58" s="344"/>
      <c r="Y58" s="344"/>
      <c r="Z58" s="344"/>
      <c r="AA58" s="344"/>
      <c r="AB58" s="344"/>
      <c r="AC58" s="357"/>
      <c r="AD58" s="344"/>
      <c r="AE58" s="344"/>
      <c r="AF58" s="344"/>
      <c r="AG58" s="344"/>
      <c r="AH58" s="344"/>
      <c r="AI58" s="344"/>
      <c r="AJ58" s="344"/>
      <c r="AK58" s="344"/>
      <c r="AL58" s="344"/>
      <c r="AM58" s="344"/>
      <c r="AN58" s="344"/>
      <c r="AO58" s="344"/>
      <c r="AP58" s="357"/>
      <c r="AQ58" s="346"/>
      <c r="AR58" s="346"/>
      <c r="AS58" s="346"/>
      <c r="AT58" s="346"/>
      <c r="AU58" s="346"/>
      <c r="AV58" s="346"/>
      <c r="AW58" s="346"/>
      <c r="AX58" s="346"/>
      <c r="AY58" s="346"/>
      <c r="AZ58" s="346"/>
      <c r="BA58" s="346"/>
      <c r="BB58" s="346"/>
      <c r="BC58" s="358"/>
      <c r="BD58" s="346"/>
      <c r="BE58" s="346"/>
      <c r="BF58" s="346"/>
      <c r="BG58" s="346"/>
      <c r="BH58" s="346"/>
      <c r="BI58" s="346"/>
      <c r="BJ58" s="346"/>
      <c r="BK58" s="346"/>
      <c r="BL58" s="346"/>
      <c r="BM58" s="346"/>
      <c r="BN58" s="346"/>
      <c r="BO58" s="346"/>
      <c r="BP58" s="358"/>
      <c r="BQ58" s="358"/>
      <c r="BR58" s="85"/>
    </row>
    <row r="59" spans="1:70" ht="13.5" customHeight="1">
      <c r="A59" s="64"/>
      <c r="B59" s="383" t="s">
        <v>84</v>
      </c>
      <c r="C59" s="383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59"/>
      <c r="Q59" s="359"/>
      <c r="R59" s="359"/>
      <c r="S59" s="359"/>
      <c r="T59" s="359"/>
      <c r="U59" s="359"/>
      <c r="V59" s="359"/>
      <c r="W59" s="359"/>
      <c r="X59" s="359"/>
      <c r="Y59" s="359"/>
      <c r="Z59" s="359"/>
      <c r="AA59" s="359"/>
      <c r="AB59" s="359"/>
      <c r="AC59" s="359"/>
      <c r="AD59" s="359"/>
      <c r="AE59" s="359"/>
      <c r="AF59" s="359"/>
      <c r="AG59" s="359"/>
      <c r="AH59" s="359"/>
      <c r="AI59" s="359"/>
      <c r="AJ59" s="359"/>
      <c r="AK59" s="359"/>
      <c r="AL59" s="359"/>
      <c r="AM59" s="359"/>
      <c r="AN59" s="359"/>
      <c r="AO59" s="359"/>
      <c r="AP59" s="359"/>
      <c r="AQ59" s="360"/>
      <c r="AR59" s="360"/>
      <c r="AS59" s="360"/>
      <c r="AT59" s="360"/>
      <c r="AU59" s="360"/>
      <c r="AV59" s="360"/>
      <c r="AW59" s="360"/>
      <c r="AX59" s="360"/>
      <c r="AY59" s="360"/>
      <c r="AZ59" s="360"/>
      <c r="BA59" s="360"/>
      <c r="BB59" s="360"/>
      <c r="BC59" s="360"/>
      <c r="BD59" s="360"/>
      <c r="BE59" s="360"/>
      <c r="BF59" s="360"/>
      <c r="BG59" s="360"/>
      <c r="BH59" s="360"/>
      <c r="BI59" s="360"/>
      <c r="BJ59" s="360"/>
      <c r="BK59" s="360"/>
      <c r="BL59" s="360"/>
      <c r="BM59" s="360"/>
      <c r="BN59" s="360"/>
      <c r="BO59" s="360"/>
      <c r="BP59" s="360"/>
      <c r="BQ59" s="360"/>
      <c r="BR59" s="82"/>
    </row>
    <row r="60" spans="1:70" ht="13.5" customHeight="1">
      <c r="A60" s="55"/>
      <c r="B60" s="381" t="s">
        <v>84</v>
      </c>
      <c r="C60" s="388"/>
      <c r="D60" s="353">
        <f t="shared" ref="D60:O60" si="133">D22-D42-D57</f>
        <v>0</v>
      </c>
      <c r="E60" s="353">
        <f t="shared" si="133"/>
        <v>0</v>
      </c>
      <c r="F60" s="353">
        <f t="shared" si="133"/>
        <v>0</v>
      </c>
      <c r="G60" s="353">
        <f t="shared" si="133"/>
        <v>0</v>
      </c>
      <c r="H60" s="353">
        <f t="shared" si="133"/>
        <v>0</v>
      </c>
      <c r="I60" s="353">
        <f t="shared" si="133"/>
        <v>0</v>
      </c>
      <c r="J60" s="353">
        <f t="shared" si="133"/>
        <v>0</v>
      </c>
      <c r="K60" s="353">
        <f t="shared" si="133"/>
        <v>0</v>
      </c>
      <c r="L60" s="353">
        <f t="shared" si="133"/>
        <v>0</v>
      </c>
      <c r="M60" s="353">
        <f t="shared" si="133"/>
        <v>0</v>
      </c>
      <c r="N60" s="353">
        <f t="shared" si="133"/>
        <v>-847165.84299999999</v>
      </c>
      <c r="O60" s="353">
        <f t="shared" si="133"/>
        <v>1249725.27</v>
      </c>
      <c r="P60" s="341">
        <f>SUM(D60:O60)</f>
        <v>402559.42700000003</v>
      </c>
      <c r="Q60" s="353">
        <f t="shared" ref="Q60:AB60" si="134">Q22-Q42-Q57</f>
        <v>-259292.78450000007</v>
      </c>
      <c r="R60" s="353">
        <f t="shared" si="134"/>
        <v>3578634.8275000006</v>
      </c>
      <c r="S60" s="353">
        <f t="shared" si="134"/>
        <v>4564362.8630000008</v>
      </c>
      <c r="T60" s="353">
        <f t="shared" si="134"/>
        <v>-4346086.7650000006</v>
      </c>
      <c r="U60" s="353">
        <f t="shared" si="134"/>
        <v>328650.19700000004</v>
      </c>
      <c r="V60" s="353">
        <f t="shared" si="134"/>
        <v>-352985.04333333333</v>
      </c>
      <c r="W60" s="353">
        <f t="shared" si="134"/>
        <v>4765037.9115666673</v>
      </c>
      <c r="X60" s="353">
        <f t="shared" si="134"/>
        <v>875741.55911666725</v>
      </c>
      <c r="Y60" s="353">
        <f t="shared" si="134"/>
        <v>-1527773.2096383332</v>
      </c>
      <c r="Z60" s="353">
        <f t="shared" si="134"/>
        <v>5505261.4100645008</v>
      </c>
      <c r="AA60" s="353">
        <f t="shared" si="134"/>
        <v>2020853.4961709506</v>
      </c>
      <c r="AB60" s="353">
        <f t="shared" si="134"/>
        <v>-342241.17829195503</v>
      </c>
      <c r="AC60" s="341">
        <f>SUM(Q60:AB60)</f>
        <v>14810163.283655167</v>
      </c>
      <c r="AD60" s="353">
        <f t="shared" ref="AD60:AO60" si="135">AD22-AD42-AD57</f>
        <v>-2294818.6345878174</v>
      </c>
      <c r="AE60" s="353">
        <f t="shared" si="135"/>
        <v>962466.1568700677</v>
      </c>
      <c r="AF60" s="353">
        <f t="shared" si="135"/>
        <v>872284.59252374084</v>
      </c>
      <c r="AG60" s="353">
        <f t="shared" si="135"/>
        <v>1390645.9054427822</v>
      </c>
      <c r="AH60" s="353">
        <f t="shared" si="135"/>
        <v>318774.01823872677</v>
      </c>
      <c r="AI60" s="353">
        <f t="shared" si="135"/>
        <v>1132192.2186332163</v>
      </c>
      <c r="AJ60" s="353">
        <f t="shared" si="135"/>
        <v>6359700.8630280821</v>
      </c>
      <c r="AK60" s="353">
        <f t="shared" si="135"/>
        <v>-1842791.7327490763</v>
      </c>
      <c r="AL60" s="353">
        <f t="shared" si="135"/>
        <v>1164972.4434729344</v>
      </c>
      <c r="AM60" s="353">
        <f t="shared" si="135"/>
        <v>8025071.8417801559</v>
      </c>
      <c r="AN60" s="353">
        <f t="shared" si="135"/>
        <v>506714.45909915603</v>
      </c>
      <c r="AO60" s="353">
        <f t="shared" si="135"/>
        <v>308197.01922395546</v>
      </c>
      <c r="AP60" s="341">
        <f>SUM(AD60:AO60)</f>
        <v>16903409.150975924</v>
      </c>
      <c r="AQ60" s="353">
        <f t="shared" ref="AQ60:BB60" si="136">AQ22-AQ42-AQ57</f>
        <v>2556450.6052621966</v>
      </c>
      <c r="AR60" s="353">
        <f t="shared" si="136"/>
        <v>2479311.3139722524</v>
      </c>
      <c r="AS60" s="353">
        <f t="shared" si="136"/>
        <v>2498629.1541441758</v>
      </c>
      <c r="AT60" s="353">
        <f t="shared" si="136"/>
        <v>3179396.1786976648</v>
      </c>
      <c r="AU60" s="353">
        <f t="shared" si="136"/>
        <v>1882228.5938494247</v>
      </c>
      <c r="AV60" s="353">
        <f t="shared" si="136"/>
        <v>2888314.8170179185</v>
      </c>
      <c r="AW60" s="353">
        <f t="shared" si="136"/>
        <v>9153222.8983877003</v>
      </c>
      <c r="AX60" s="353">
        <f t="shared" si="136"/>
        <v>-582167.65616582637</v>
      </c>
      <c r="AY60" s="353">
        <f t="shared" si="136"/>
        <v>2976227.8178238603</v>
      </c>
      <c r="AZ60" s="353">
        <f t="shared" si="136"/>
        <v>10931434.182073733</v>
      </c>
      <c r="BA60" s="353">
        <f t="shared" si="136"/>
        <v>2429584.353070036</v>
      </c>
      <c r="BB60" s="353">
        <f t="shared" si="136"/>
        <v>2190593.6510592392</v>
      </c>
      <c r="BC60" s="341">
        <f>SUM(AQ60:BB60)</f>
        <v>42583225.909192376</v>
      </c>
      <c r="BD60" s="353">
        <f t="shared" ref="BD60:BO60" si="137">BD22-BD42-BD57</f>
        <v>4338546.9776921477</v>
      </c>
      <c r="BE60" s="353">
        <f t="shared" si="137"/>
        <v>4289675.203670783</v>
      </c>
      <c r="BF60" s="353">
        <f t="shared" si="137"/>
        <v>4333158.1092081256</v>
      </c>
      <c r="BG60" s="353">
        <f t="shared" si="137"/>
        <v>3482037.2640011217</v>
      </c>
      <c r="BH60" s="353">
        <f t="shared" si="137"/>
        <v>2375407.0097511369</v>
      </c>
      <c r="BI60" s="353">
        <f t="shared" si="137"/>
        <v>3590615.0543606454</v>
      </c>
      <c r="BJ60" s="353">
        <f t="shared" si="137"/>
        <v>13510268.01409485</v>
      </c>
      <c r="BK60" s="353">
        <f t="shared" si="137"/>
        <v>1558808.6373195895</v>
      </c>
      <c r="BL60" s="353">
        <f t="shared" si="137"/>
        <v>5931207.7193095814</v>
      </c>
      <c r="BM60" s="353">
        <f t="shared" si="137"/>
        <v>16563993.314184962</v>
      </c>
      <c r="BN60" s="353">
        <f t="shared" si="137"/>
        <v>6472612.6685695881</v>
      </c>
      <c r="BO60" s="353">
        <f t="shared" si="137"/>
        <v>6869162.9711534074</v>
      </c>
      <c r="BP60" s="341">
        <f>SUM(BD60:BO60)</f>
        <v>73315492.943315938</v>
      </c>
      <c r="BQ60" s="341">
        <f t="shared" ref="BQ60" si="138">P60+AC60+AP60+BC60+BP60</f>
        <v>148014850.7141394</v>
      </c>
      <c r="BR60" s="54"/>
    </row>
    <row r="61" spans="1:70" ht="13.5" customHeight="1">
      <c r="A61" s="57"/>
      <c r="B61" s="382" t="s">
        <v>85</v>
      </c>
      <c r="C61" s="382"/>
      <c r="D61" s="355">
        <f t="shared" ref="D61:BQ61" si="139">SUM(D60)</f>
        <v>0</v>
      </c>
      <c r="E61" s="355">
        <f t="shared" si="139"/>
        <v>0</v>
      </c>
      <c r="F61" s="355">
        <f t="shared" si="139"/>
        <v>0</v>
      </c>
      <c r="G61" s="355">
        <f t="shared" si="139"/>
        <v>0</v>
      </c>
      <c r="H61" s="355">
        <f t="shared" si="139"/>
        <v>0</v>
      </c>
      <c r="I61" s="355">
        <f t="shared" si="139"/>
        <v>0</v>
      </c>
      <c r="J61" s="355">
        <f t="shared" si="139"/>
        <v>0</v>
      </c>
      <c r="K61" s="355">
        <f t="shared" si="139"/>
        <v>0</v>
      </c>
      <c r="L61" s="355">
        <f t="shared" si="139"/>
        <v>0</v>
      </c>
      <c r="M61" s="355">
        <f t="shared" si="139"/>
        <v>0</v>
      </c>
      <c r="N61" s="355">
        <f t="shared" si="139"/>
        <v>-847165.84299999999</v>
      </c>
      <c r="O61" s="355">
        <f t="shared" si="139"/>
        <v>1249725.27</v>
      </c>
      <c r="P61" s="356">
        <f t="shared" si="139"/>
        <v>402559.42700000003</v>
      </c>
      <c r="Q61" s="355">
        <f t="shared" si="139"/>
        <v>-259292.78450000007</v>
      </c>
      <c r="R61" s="355">
        <f t="shared" si="139"/>
        <v>3578634.8275000006</v>
      </c>
      <c r="S61" s="355">
        <f t="shared" si="139"/>
        <v>4564362.8630000008</v>
      </c>
      <c r="T61" s="355">
        <f t="shared" si="139"/>
        <v>-4346086.7650000006</v>
      </c>
      <c r="U61" s="355">
        <f t="shared" si="139"/>
        <v>328650.19700000004</v>
      </c>
      <c r="V61" s="355">
        <f t="shared" si="139"/>
        <v>-352985.04333333333</v>
      </c>
      <c r="W61" s="355">
        <f t="shared" si="139"/>
        <v>4765037.9115666673</v>
      </c>
      <c r="X61" s="355">
        <f t="shared" si="139"/>
        <v>875741.55911666725</v>
      </c>
      <c r="Y61" s="355">
        <f t="shared" si="139"/>
        <v>-1527773.2096383332</v>
      </c>
      <c r="Z61" s="355">
        <f t="shared" si="139"/>
        <v>5505261.4100645008</v>
      </c>
      <c r="AA61" s="355">
        <f t="shared" si="139"/>
        <v>2020853.4961709506</v>
      </c>
      <c r="AB61" s="355">
        <f t="shared" si="139"/>
        <v>-342241.17829195503</v>
      </c>
      <c r="AC61" s="356">
        <f t="shared" si="139"/>
        <v>14810163.283655167</v>
      </c>
      <c r="AD61" s="355">
        <f t="shared" si="139"/>
        <v>-2294818.6345878174</v>
      </c>
      <c r="AE61" s="355">
        <f t="shared" si="139"/>
        <v>962466.1568700677</v>
      </c>
      <c r="AF61" s="355">
        <f t="shared" si="139"/>
        <v>872284.59252374084</v>
      </c>
      <c r="AG61" s="355">
        <f t="shared" si="139"/>
        <v>1390645.9054427822</v>
      </c>
      <c r="AH61" s="355">
        <f t="shared" si="139"/>
        <v>318774.01823872677</v>
      </c>
      <c r="AI61" s="355">
        <f t="shared" si="139"/>
        <v>1132192.2186332163</v>
      </c>
      <c r="AJ61" s="355">
        <f t="shared" si="139"/>
        <v>6359700.8630280821</v>
      </c>
      <c r="AK61" s="355">
        <f t="shared" si="139"/>
        <v>-1842791.7327490763</v>
      </c>
      <c r="AL61" s="355">
        <f t="shared" si="139"/>
        <v>1164972.4434729344</v>
      </c>
      <c r="AM61" s="355">
        <f t="shared" si="139"/>
        <v>8025071.8417801559</v>
      </c>
      <c r="AN61" s="355">
        <f t="shared" si="139"/>
        <v>506714.45909915603</v>
      </c>
      <c r="AO61" s="355">
        <f t="shared" si="139"/>
        <v>308197.01922395546</v>
      </c>
      <c r="AP61" s="356">
        <f t="shared" si="139"/>
        <v>16903409.150975924</v>
      </c>
      <c r="AQ61" s="355">
        <f t="shared" si="139"/>
        <v>2556450.6052621966</v>
      </c>
      <c r="AR61" s="355">
        <f t="shared" si="139"/>
        <v>2479311.3139722524</v>
      </c>
      <c r="AS61" s="355">
        <f t="shared" si="139"/>
        <v>2498629.1541441758</v>
      </c>
      <c r="AT61" s="355">
        <f t="shared" si="139"/>
        <v>3179396.1786976648</v>
      </c>
      <c r="AU61" s="355">
        <f t="shared" si="139"/>
        <v>1882228.5938494247</v>
      </c>
      <c r="AV61" s="355">
        <f t="shared" si="139"/>
        <v>2888314.8170179185</v>
      </c>
      <c r="AW61" s="355">
        <f t="shared" si="139"/>
        <v>9153222.8983877003</v>
      </c>
      <c r="AX61" s="355">
        <f t="shared" si="139"/>
        <v>-582167.65616582637</v>
      </c>
      <c r="AY61" s="355">
        <f t="shared" si="139"/>
        <v>2976227.8178238603</v>
      </c>
      <c r="AZ61" s="355">
        <f t="shared" si="139"/>
        <v>10931434.182073733</v>
      </c>
      <c r="BA61" s="355">
        <f t="shared" si="139"/>
        <v>2429584.353070036</v>
      </c>
      <c r="BB61" s="355">
        <f t="shared" si="139"/>
        <v>2190593.6510592392</v>
      </c>
      <c r="BC61" s="356">
        <f t="shared" si="139"/>
        <v>42583225.909192376</v>
      </c>
      <c r="BD61" s="355">
        <f t="shared" si="139"/>
        <v>4338546.9776921477</v>
      </c>
      <c r="BE61" s="355">
        <f t="shared" si="139"/>
        <v>4289675.203670783</v>
      </c>
      <c r="BF61" s="355">
        <f t="shared" si="139"/>
        <v>4333158.1092081256</v>
      </c>
      <c r="BG61" s="355">
        <f t="shared" si="139"/>
        <v>3482037.2640011217</v>
      </c>
      <c r="BH61" s="355">
        <f t="shared" si="139"/>
        <v>2375407.0097511369</v>
      </c>
      <c r="BI61" s="355">
        <f t="shared" si="139"/>
        <v>3590615.0543606454</v>
      </c>
      <c r="BJ61" s="355">
        <f t="shared" si="139"/>
        <v>13510268.01409485</v>
      </c>
      <c r="BK61" s="355">
        <f t="shared" si="139"/>
        <v>1558808.6373195895</v>
      </c>
      <c r="BL61" s="355">
        <f t="shared" si="139"/>
        <v>5931207.7193095814</v>
      </c>
      <c r="BM61" s="355">
        <f t="shared" si="139"/>
        <v>16563993.314184962</v>
      </c>
      <c r="BN61" s="355">
        <f t="shared" si="139"/>
        <v>6472612.6685695881</v>
      </c>
      <c r="BO61" s="355">
        <f t="shared" si="139"/>
        <v>6869162.9711534074</v>
      </c>
      <c r="BP61" s="356">
        <f t="shared" si="139"/>
        <v>73315492.943315938</v>
      </c>
      <c r="BQ61" s="356">
        <f t="shared" si="139"/>
        <v>148014850.7141394</v>
      </c>
      <c r="BR61" s="84"/>
    </row>
    <row r="62" spans="1:70" ht="13.5" customHeight="1">
      <c r="A62" s="4"/>
      <c r="B62" s="328"/>
      <c r="C62" s="328"/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  <c r="P62" s="357"/>
      <c r="Q62" s="344"/>
      <c r="R62" s="344"/>
      <c r="S62" s="344"/>
      <c r="T62" s="344"/>
      <c r="U62" s="344"/>
      <c r="V62" s="344"/>
      <c r="W62" s="344"/>
      <c r="X62" s="344"/>
      <c r="Y62" s="344"/>
      <c r="Z62" s="344"/>
      <c r="AA62" s="344"/>
      <c r="AB62" s="344"/>
      <c r="AC62" s="357"/>
      <c r="AD62" s="344"/>
      <c r="AE62" s="344"/>
      <c r="AF62" s="344"/>
      <c r="AG62" s="344"/>
      <c r="AH62" s="344"/>
      <c r="AI62" s="344"/>
      <c r="AJ62" s="344"/>
      <c r="AK62" s="344"/>
      <c r="AL62" s="344"/>
      <c r="AM62" s="344"/>
      <c r="AN62" s="344"/>
      <c r="AO62" s="344"/>
      <c r="AP62" s="357"/>
      <c r="AQ62" s="346"/>
      <c r="AR62" s="346"/>
      <c r="AS62" s="346"/>
      <c r="AT62" s="346"/>
      <c r="AU62" s="346"/>
      <c r="AV62" s="346"/>
      <c r="AW62" s="346"/>
      <c r="AX62" s="346"/>
      <c r="AY62" s="346"/>
      <c r="AZ62" s="346"/>
      <c r="BA62" s="346"/>
      <c r="BB62" s="346"/>
      <c r="BC62" s="358"/>
      <c r="BD62" s="346"/>
      <c r="BE62" s="346"/>
      <c r="BF62" s="346"/>
      <c r="BG62" s="346"/>
      <c r="BH62" s="346"/>
      <c r="BI62" s="346"/>
      <c r="BJ62" s="346"/>
      <c r="BK62" s="346"/>
      <c r="BL62" s="346"/>
      <c r="BM62" s="346"/>
      <c r="BN62" s="346"/>
      <c r="BO62" s="346"/>
      <c r="BP62" s="358"/>
      <c r="BQ62" s="358"/>
      <c r="BR62" s="85"/>
    </row>
    <row r="63" spans="1:70" ht="13.5" customHeight="1">
      <c r="A63" s="32"/>
      <c r="B63" s="376" t="s">
        <v>86</v>
      </c>
      <c r="C63" s="376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48"/>
      <c r="AH63" s="348"/>
      <c r="AI63" s="348"/>
      <c r="AJ63" s="348"/>
      <c r="AK63" s="348"/>
      <c r="AL63" s="348"/>
      <c r="AM63" s="348"/>
      <c r="AN63" s="348"/>
      <c r="AO63" s="348"/>
      <c r="AP63" s="348"/>
      <c r="AQ63" s="338"/>
      <c r="AR63" s="338"/>
      <c r="AS63" s="338"/>
      <c r="AT63" s="338"/>
      <c r="AU63" s="338"/>
      <c r="AV63" s="338"/>
      <c r="AW63" s="338"/>
      <c r="AX63" s="338"/>
      <c r="AY63" s="338"/>
      <c r="AZ63" s="338"/>
      <c r="BA63" s="338"/>
      <c r="BB63" s="338"/>
      <c r="BC63" s="338"/>
      <c r="BD63" s="338"/>
      <c r="BE63" s="338"/>
      <c r="BF63" s="338"/>
      <c r="BG63" s="338"/>
      <c r="BH63" s="338"/>
      <c r="BI63" s="338"/>
      <c r="BJ63" s="338"/>
      <c r="BK63" s="338"/>
      <c r="BL63" s="338"/>
      <c r="BM63" s="338"/>
      <c r="BN63" s="338"/>
      <c r="BO63" s="338"/>
      <c r="BP63" s="338"/>
      <c r="BQ63" s="338"/>
      <c r="BR63" s="82"/>
    </row>
    <row r="64" spans="1:70" ht="13.5" customHeight="1">
      <c r="A64" s="50" t="s">
        <v>87</v>
      </c>
      <c r="B64" s="380"/>
      <c r="C64" s="380"/>
      <c r="D64" s="349"/>
      <c r="E64" s="349"/>
      <c r="F64" s="349"/>
      <c r="G64" s="349"/>
      <c r="H64" s="349"/>
      <c r="I64" s="349"/>
      <c r="J64" s="349"/>
      <c r="K64" s="349"/>
      <c r="L64" s="349"/>
      <c r="M64" s="349"/>
      <c r="N64" s="349"/>
      <c r="O64" s="349"/>
      <c r="P64" s="350"/>
      <c r="Q64" s="349"/>
      <c r="R64" s="349"/>
      <c r="S64" s="349"/>
      <c r="T64" s="349"/>
      <c r="U64" s="349"/>
      <c r="V64" s="349"/>
      <c r="W64" s="349"/>
      <c r="X64" s="349"/>
      <c r="Y64" s="349"/>
      <c r="Z64" s="349"/>
      <c r="AA64" s="349"/>
      <c r="AB64" s="349"/>
      <c r="AC64" s="350"/>
      <c r="AD64" s="349"/>
      <c r="AE64" s="349"/>
      <c r="AF64" s="349"/>
      <c r="AG64" s="349"/>
      <c r="AH64" s="349"/>
      <c r="AI64" s="349"/>
      <c r="AJ64" s="349"/>
      <c r="AK64" s="349"/>
      <c r="AL64" s="349"/>
      <c r="AM64" s="349"/>
      <c r="AN64" s="349"/>
      <c r="AO64" s="349"/>
      <c r="AP64" s="350"/>
      <c r="AQ64" s="351"/>
      <c r="AR64" s="351"/>
      <c r="AS64" s="351"/>
      <c r="AT64" s="351"/>
      <c r="AU64" s="351"/>
      <c r="AV64" s="351"/>
      <c r="AW64" s="351"/>
      <c r="AX64" s="351"/>
      <c r="AY64" s="351"/>
      <c r="AZ64" s="351"/>
      <c r="BA64" s="351"/>
      <c r="BB64" s="351"/>
      <c r="BC64" s="352"/>
      <c r="BD64" s="351"/>
      <c r="BE64" s="351"/>
      <c r="BF64" s="351"/>
      <c r="BG64" s="351"/>
      <c r="BH64" s="351"/>
      <c r="BI64" s="351"/>
      <c r="BJ64" s="351"/>
      <c r="BK64" s="351"/>
      <c r="BL64" s="351"/>
      <c r="BM64" s="351"/>
      <c r="BN64" s="351"/>
      <c r="BO64" s="351"/>
      <c r="BP64" s="352"/>
      <c r="BQ64" s="352"/>
      <c r="BR64" s="82"/>
    </row>
    <row r="65" spans="1:70" ht="13.5" customHeight="1">
      <c r="A65" s="4"/>
      <c r="B65" s="377" t="s">
        <v>88</v>
      </c>
      <c r="C65" s="377"/>
      <c r="D65" s="353">
        <f>'Utilization and Salaries'!T102</f>
        <v>145416.66666666666</v>
      </c>
      <c r="E65" s="353">
        <f>'Utilization and Salaries'!U102</f>
        <v>150833.33333333334</v>
      </c>
      <c r="F65" s="353">
        <f>'Utilization and Salaries'!V102</f>
        <v>167500</v>
      </c>
      <c r="G65" s="353">
        <f>'Utilization and Salaries'!W102</f>
        <v>195416.66666666669</v>
      </c>
      <c r="H65" s="353">
        <f>'Utilization and Salaries'!X102</f>
        <v>195416.66666666669</v>
      </c>
      <c r="I65" s="353">
        <f>'Utilization and Salaries'!Y102</f>
        <v>195416.66666666669</v>
      </c>
      <c r="J65" s="353">
        <f>'Utilization and Salaries'!Z102</f>
        <v>195416.66666666669</v>
      </c>
      <c r="K65" s="353">
        <f>'Utilization and Salaries'!AA102</f>
        <v>195416.66666666669</v>
      </c>
      <c r="L65" s="353">
        <f>'Utilization and Salaries'!AB102</f>
        <v>95416.666666666672</v>
      </c>
      <c r="M65" s="353">
        <f>'Utilization and Salaries'!AC102</f>
        <v>195416.66666666669</v>
      </c>
      <c r="N65" s="353">
        <f>'Utilization and Salaries'!AD102</f>
        <v>195416.66666666669</v>
      </c>
      <c r="O65" s="353">
        <f>'Utilization and Salaries'!AE102</f>
        <v>195416.66666666669</v>
      </c>
      <c r="P65" s="341">
        <f t="shared" ref="P65:P68" si="140">SUM(D65:O65)</f>
        <v>2122500.0000000005</v>
      </c>
      <c r="Q65" s="353">
        <f>'Utilization and Salaries'!AG102</f>
        <v>203233.33333333331</v>
      </c>
      <c r="R65" s="353">
        <f>'Utilization and Salaries'!AH102</f>
        <v>203233.33333333331</v>
      </c>
      <c r="S65" s="353">
        <f>'Utilization and Salaries'!AI102</f>
        <v>203233.33333333331</v>
      </c>
      <c r="T65" s="353">
        <f>'Utilization and Salaries'!AJ102</f>
        <v>218233.33333333331</v>
      </c>
      <c r="U65" s="353">
        <f>'Utilization and Salaries'!AK102</f>
        <v>246566.66666666666</v>
      </c>
      <c r="V65" s="353">
        <f>'Utilization and Salaries'!AL102</f>
        <v>299483.33333333337</v>
      </c>
      <c r="W65" s="353">
        <f>'Utilization and Salaries'!AM102</f>
        <v>439900.00000000006</v>
      </c>
      <c r="X65" s="353">
        <f>'Utilization and Salaries'!AN102</f>
        <v>439900.00000000006</v>
      </c>
      <c r="Y65" s="353">
        <f>'Utilization and Salaries'!AO102</f>
        <v>439900.00000000006</v>
      </c>
      <c r="Z65" s="353">
        <f>'Utilization and Salaries'!AP102</f>
        <v>439900.00000000006</v>
      </c>
      <c r="AA65" s="353">
        <f>'Utilization and Salaries'!AQ102</f>
        <v>439900.00000000006</v>
      </c>
      <c r="AB65" s="353">
        <f>'Utilization and Salaries'!AR102</f>
        <v>439900.00000000006</v>
      </c>
      <c r="AC65" s="341">
        <f t="shared" ref="AC65:AC68" si="141">SUM(Q65:AB65)</f>
        <v>4013383.3333333335</v>
      </c>
      <c r="AD65" s="353">
        <f>'Utilization and Salaries'!AT102</f>
        <v>859579.3333333336</v>
      </c>
      <c r="AE65" s="353">
        <f>'Utilization and Salaries'!AU102</f>
        <v>859579.3333333336</v>
      </c>
      <c r="AF65" s="353">
        <f>'Utilization and Salaries'!AV102</f>
        <v>859579.3333333336</v>
      </c>
      <c r="AG65" s="353">
        <f>'Utilization and Salaries'!AW102</f>
        <v>876246.00000000023</v>
      </c>
      <c r="AH65" s="353">
        <f>'Utilization and Salaries'!AX102</f>
        <v>876246.00000000023</v>
      </c>
      <c r="AI65" s="353">
        <f>'Utilization and Salaries'!AY102</f>
        <v>876246.00000000023</v>
      </c>
      <c r="AJ65" s="353">
        <f>'Utilization and Salaries'!AZ102</f>
        <v>876246.00000000023</v>
      </c>
      <c r="AK65" s="353">
        <f>'Utilization and Salaries'!BA102</f>
        <v>876246.00000000023</v>
      </c>
      <c r="AL65" s="353">
        <f>'Utilization and Salaries'!BB102</f>
        <v>876246.00000000023</v>
      </c>
      <c r="AM65" s="353">
        <f>'Utilization and Salaries'!BC102</f>
        <v>876246.00000000023</v>
      </c>
      <c r="AN65" s="353">
        <f>'Utilization and Salaries'!BD102</f>
        <v>876246.00000000023</v>
      </c>
      <c r="AO65" s="353">
        <f>'Utilization and Salaries'!BE102</f>
        <v>876246.00000000023</v>
      </c>
      <c r="AP65" s="341">
        <f t="shared" ref="AP65:AP68" si="142">SUM(AD65:AO65)</f>
        <v>10464952.000000002</v>
      </c>
      <c r="AQ65" s="353">
        <f>'Utilization and Salaries'!BG102</f>
        <v>911295.84</v>
      </c>
      <c r="AR65" s="353">
        <f>'Utilization and Salaries'!BH102</f>
        <v>911295.84</v>
      </c>
      <c r="AS65" s="353">
        <f>'Utilization and Salaries'!BI102</f>
        <v>911295.84</v>
      </c>
      <c r="AT65" s="353">
        <f>'Utilization and Salaries'!BJ102</f>
        <v>911295.84</v>
      </c>
      <c r="AU65" s="353">
        <f>'Utilization and Salaries'!BK102</f>
        <v>911295.84</v>
      </c>
      <c r="AV65" s="353">
        <f>'Utilization and Salaries'!BL102</f>
        <v>911295.84</v>
      </c>
      <c r="AW65" s="353">
        <f>'Utilization and Salaries'!BM102</f>
        <v>911295.84</v>
      </c>
      <c r="AX65" s="353">
        <f>'Utilization and Salaries'!BN102</f>
        <v>911295.84</v>
      </c>
      <c r="AY65" s="353">
        <f>'Utilization and Salaries'!BO102</f>
        <v>911295.84</v>
      </c>
      <c r="AZ65" s="353">
        <f>'Utilization and Salaries'!BP102</f>
        <v>911295.84</v>
      </c>
      <c r="BA65" s="353">
        <f>'Utilization and Salaries'!BQ102</f>
        <v>911295.84</v>
      </c>
      <c r="BB65" s="353">
        <f>'Utilization and Salaries'!BR102</f>
        <v>911295.84</v>
      </c>
      <c r="BC65" s="341">
        <f t="shared" ref="BC65:BC68" si="143">SUM(AQ65:BB65)</f>
        <v>10935550.08</v>
      </c>
      <c r="BD65" s="353">
        <f>'Utilization and Salaries'!BT102</f>
        <v>947747.67360000033</v>
      </c>
      <c r="BE65" s="353">
        <f>'Utilization and Salaries'!BU102</f>
        <v>947747.67360000033</v>
      </c>
      <c r="BF65" s="353">
        <f>'Utilization and Salaries'!BV102</f>
        <v>947747.67360000033</v>
      </c>
      <c r="BG65" s="353">
        <f>'Utilization and Salaries'!BW102</f>
        <v>947747.67360000033</v>
      </c>
      <c r="BH65" s="353">
        <f>'Utilization and Salaries'!BX102</f>
        <v>947747.67360000033</v>
      </c>
      <c r="BI65" s="353">
        <f>'Utilization and Salaries'!BY102</f>
        <v>947747.67360000033</v>
      </c>
      <c r="BJ65" s="353">
        <f>'Utilization and Salaries'!BZ102</f>
        <v>947747.67360000033</v>
      </c>
      <c r="BK65" s="353">
        <f>'Utilization and Salaries'!CA102</f>
        <v>947747.67360000033</v>
      </c>
      <c r="BL65" s="353">
        <f>'Utilization and Salaries'!CB102</f>
        <v>947747.67360000033</v>
      </c>
      <c r="BM65" s="353">
        <f>'Utilization and Salaries'!CC102</f>
        <v>947747.67360000033</v>
      </c>
      <c r="BN65" s="353">
        <f>'Utilization and Salaries'!CD102</f>
        <v>947747.67360000033</v>
      </c>
      <c r="BO65" s="353">
        <f>'Utilization and Salaries'!CE102</f>
        <v>947747.67360000033</v>
      </c>
      <c r="BP65" s="341">
        <f t="shared" ref="BP65:BP68" si="144">SUM(BD65:BO65)</f>
        <v>11372972.0832</v>
      </c>
      <c r="BQ65" s="341">
        <f t="shared" ref="BQ65:BQ68" si="145">P65+AC65+AP65+BC65+BP65</f>
        <v>38909357.496533334</v>
      </c>
      <c r="BR65" s="54"/>
    </row>
    <row r="66" spans="1:70" ht="13.5" customHeight="1">
      <c r="A66" s="4"/>
      <c r="B66" s="377" t="s">
        <v>89</v>
      </c>
      <c r="C66" s="377"/>
      <c r="D66" s="353">
        <f t="shared" ref="D66:O66" si="146">D65*0.1</f>
        <v>14541.666666666666</v>
      </c>
      <c r="E66" s="353">
        <f t="shared" si="146"/>
        <v>15083.333333333336</v>
      </c>
      <c r="F66" s="353">
        <f t="shared" si="146"/>
        <v>16750</v>
      </c>
      <c r="G66" s="353">
        <f t="shared" si="146"/>
        <v>19541.666666666668</v>
      </c>
      <c r="H66" s="353">
        <f t="shared" si="146"/>
        <v>19541.666666666668</v>
      </c>
      <c r="I66" s="353">
        <f t="shared" si="146"/>
        <v>19541.666666666668</v>
      </c>
      <c r="J66" s="353">
        <f t="shared" si="146"/>
        <v>19541.666666666668</v>
      </c>
      <c r="K66" s="353">
        <f t="shared" si="146"/>
        <v>19541.666666666668</v>
      </c>
      <c r="L66" s="353">
        <f t="shared" si="146"/>
        <v>9541.6666666666679</v>
      </c>
      <c r="M66" s="353">
        <f t="shared" si="146"/>
        <v>19541.666666666668</v>
      </c>
      <c r="N66" s="353">
        <f t="shared" si="146"/>
        <v>19541.666666666668</v>
      </c>
      <c r="O66" s="353">
        <f t="shared" si="146"/>
        <v>19541.666666666668</v>
      </c>
      <c r="P66" s="341">
        <f t="shared" si="140"/>
        <v>212249.99999999997</v>
      </c>
      <c r="Q66" s="353">
        <f t="shared" ref="Q66:AB66" si="147">Q65*0.1</f>
        <v>20323.333333333332</v>
      </c>
      <c r="R66" s="353">
        <f t="shared" si="147"/>
        <v>20323.333333333332</v>
      </c>
      <c r="S66" s="353">
        <f t="shared" si="147"/>
        <v>20323.333333333332</v>
      </c>
      <c r="T66" s="353">
        <f t="shared" si="147"/>
        <v>21823.333333333332</v>
      </c>
      <c r="U66" s="353">
        <f t="shared" si="147"/>
        <v>24656.666666666668</v>
      </c>
      <c r="V66" s="353">
        <f t="shared" si="147"/>
        <v>29948.333333333339</v>
      </c>
      <c r="W66" s="353">
        <f t="shared" si="147"/>
        <v>43990.000000000007</v>
      </c>
      <c r="X66" s="353">
        <f t="shared" si="147"/>
        <v>43990.000000000007</v>
      </c>
      <c r="Y66" s="353">
        <f t="shared" si="147"/>
        <v>43990.000000000007</v>
      </c>
      <c r="Z66" s="353">
        <f t="shared" si="147"/>
        <v>43990.000000000007</v>
      </c>
      <c r="AA66" s="353">
        <f t="shared" si="147"/>
        <v>43990.000000000007</v>
      </c>
      <c r="AB66" s="353">
        <f t="shared" si="147"/>
        <v>43990.000000000007</v>
      </c>
      <c r="AC66" s="341">
        <f t="shared" si="141"/>
        <v>401338.33333333337</v>
      </c>
      <c r="AD66" s="353">
        <f t="shared" ref="AD66:AO66" si="148">AD65*0.1</f>
        <v>85957.933333333363</v>
      </c>
      <c r="AE66" s="353">
        <f t="shared" si="148"/>
        <v>85957.933333333363</v>
      </c>
      <c r="AF66" s="353">
        <f t="shared" si="148"/>
        <v>85957.933333333363</v>
      </c>
      <c r="AG66" s="353">
        <f t="shared" si="148"/>
        <v>87624.600000000035</v>
      </c>
      <c r="AH66" s="353">
        <f t="shared" si="148"/>
        <v>87624.600000000035</v>
      </c>
      <c r="AI66" s="353">
        <f t="shared" si="148"/>
        <v>87624.600000000035</v>
      </c>
      <c r="AJ66" s="353">
        <f t="shared" si="148"/>
        <v>87624.600000000035</v>
      </c>
      <c r="AK66" s="353">
        <f t="shared" si="148"/>
        <v>87624.600000000035</v>
      </c>
      <c r="AL66" s="353">
        <f t="shared" si="148"/>
        <v>87624.600000000035</v>
      </c>
      <c r="AM66" s="353">
        <f t="shared" si="148"/>
        <v>87624.600000000035</v>
      </c>
      <c r="AN66" s="353">
        <f t="shared" si="148"/>
        <v>87624.600000000035</v>
      </c>
      <c r="AO66" s="353">
        <f t="shared" si="148"/>
        <v>87624.600000000035</v>
      </c>
      <c r="AP66" s="341">
        <f t="shared" si="142"/>
        <v>1046495.2000000007</v>
      </c>
      <c r="AQ66" s="353">
        <f t="shared" ref="AQ66:BB66" si="149">AQ65*0.1</f>
        <v>91129.584000000003</v>
      </c>
      <c r="AR66" s="353">
        <f t="shared" si="149"/>
        <v>91129.584000000003</v>
      </c>
      <c r="AS66" s="353">
        <f t="shared" si="149"/>
        <v>91129.584000000003</v>
      </c>
      <c r="AT66" s="353">
        <f t="shared" si="149"/>
        <v>91129.584000000003</v>
      </c>
      <c r="AU66" s="353">
        <f t="shared" si="149"/>
        <v>91129.584000000003</v>
      </c>
      <c r="AV66" s="353">
        <f t="shared" si="149"/>
        <v>91129.584000000003</v>
      </c>
      <c r="AW66" s="353">
        <f t="shared" si="149"/>
        <v>91129.584000000003</v>
      </c>
      <c r="AX66" s="353">
        <f t="shared" si="149"/>
        <v>91129.584000000003</v>
      </c>
      <c r="AY66" s="353">
        <f t="shared" si="149"/>
        <v>91129.584000000003</v>
      </c>
      <c r="AZ66" s="353">
        <f t="shared" si="149"/>
        <v>91129.584000000003</v>
      </c>
      <c r="BA66" s="353">
        <f t="shared" si="149"/>
        <v>91129.584000000003</v>
      </c>
      <c r="BB66" s="353">
        <f t="shared" si="149"/>
        <v>91129.584000000003</v>
      </c>
      <c r="BC66" s="341">
        <f t="shared" si="143"/>
        <v>1093555.0080000001</v>
      </c>
      <c r="BD66" s="353">
        <f t="shared" ref="BD66:BO66" si="150">BD65*0.1</f>
        <v>94774.767360000042</v>
      </c>
      <c r="BE66" s="353">
        <f t="shared" si="150"/>
        <v>94774.767360000042</v>
      </c>
      <c r="BF66" s="353">
        <f t="shared" si="150"/>
        <v>94774.767360000042</v>
      </c>
      <c r="BG66" s="353">
        <f t="shared" si="150"/>
        <v>94774.767360000042</v>
      </c>
      <c r="BH66" s="353">
        <f t="shared" si="150"/>
        <v>94774.767360000042</v>
      </c>
      <c r="BI66" s="353">
        <f t="shared" si="150"/>
        <v>94774.767360000042</v>
      </c>
      <c r="BJ66" s="353">
        <f t="shared" si="150"/>
        <v>94774.767360000042</v>
      </c>
      <c r="BK66" s="353">
        <f t="shared" si="150"/>
        <v>94774.767360000042</v>
      </c>
      <c r="BL66" s="353">
        <f t="shared" si="150"/>
        <v>94774.767360000042</v>
      </c>
      <c r="BM66" s="353">
        <f t="shared" si="150"/>
        <v>94774.767360000042</v>
      </c>
      <c r="BN66" s="353">
        <f t="shared" si="150"/>
        <v>94774.767360000042</v>
      </c>
      <c r="BO66" s="353">
        <f t="shared" si="150"/>
        <v>94774.767360000042</v>
      </c>
      <c r="BP66" s="341">
        <f t="shared" si="144"/>
        <v>1137297.2083200004</v>
      </c>
      <c r="BQ66" s="341">
        <f t="shared" si="145"/>
        <v>3890935.7496533347</v>
      </c>
      <c r="BR66" s="54"/>
    </row>
    <row r="67" spans="1:70" ht="13.5" customHeight="1">
      <c r="A67" s="4"/>
      <c r="B67" s="377" t="s">
        <v>90</v>
      </c>
      <c r="C67" s="377"/>
      <c r="D67" s="353">
        <f>D65*0.07</f>
        <v>10179.166666666666</v>
      </c>
      <c r="E67" s="353">
        <f t="shared" ref="E67:O67" si="151">E65*0.07</f>
        <v>10558.333333333336</v>
      </c>
      <c r="F67" s="353">
        <f t="shared" si="151"/>
        <v>11725.000000000002</v>
      </c>
      <c r="G67" s="353">
        <f t="shared" si="151"/>
        <v>13679.16666666667</v>
      </c>
      <c r="H67" s="353">
        <f t="shared" si="151"/>
        <v>13679.16666666667</v>
      </c>
      <c r="I67" s="353">
        <f t="shared" si="151"/>
        <v>13679.16666666667</v>
      </c>
      <c r="J67" s="353">
        <f t="shared" si="151"/>
        <v>13679.16666666667</v>
      </c>
      <c r="K67" s="353">
        <f t="shared" si="151"/>
        <v>13679.16666666667</v>
      </c>
      <c r="L67" s="353">
        <f>K67</f>
        <v>13679.16666666667</v>
      </c>
      <c r="M67" s="353">
        <f t="shared" si="151"/>
        <v>13679.16666666667</v>
      </c>
      <c r="N67" s="353">
        <f t="shared" si="151"/>
        <v>13679.16666666667</v>
      </c>
      <c r="O67" s="353">
        <f t="shared" si="151"/>
        <v>13679.16666666667</v>
      </c>
      <c r="P67" s="341">
        <f t="shared" si="140"/>
        <v>155575.00000000003</v>
      </c>
      <c r="Q67" s="353">
        <f>Q65*0.07</f>
        <v>14226.333333333334</v>
      </c>
      <c r="R67" s="353">
        <f t="shared" ref="R67:AB67" si="152">R65*0.07</f>
        <v>14226.333333333334</v>
      </c>
      <c r="S67" s="353">
        <f t="shared" si="152"/>
        <v>14226.333333333334</v>
      </c>
      <c r="T67" s="353">
        <f t="shared" si="152"/>
        <v>15276.333333333334</v>
      </c>
      <c r="U67" s="353">
        <f t="shared" si="152"/>
        <v>17259.666666666668</v>
      </c>
      <c r="V67" s="353">
        <f t="shared" si="152"/>
        <v>20963.833333333339</v>
      </c>
      <c r="W67" s="353">
        <f t="shared" si="152"/>
        <v>30793.000000000007</v>
      </c>
      <c r="X67" s="353">
        <f t="shared" si="152"/>
        <v>30793.000000000007</v>
      </c>
      <c r="Y67" s="353">
        <f t="shared" si="152"/>
        <v>30793.000000000007</v>
      </c>
      <c r="Z67" s="353">
        <f t="shared" si="152"/>
        <v>30793.000000000007</v>
      </c>
      <c r="AA67" s="353">
        <f t="shared" si="152"/>
        <v>30793.000000000007</v>
      </c>
      <c r="AB67" s="353">
        <f t="shared" si="152"/>
        <v>30793.000000000007</v>
      </c>
      <c r="AC67" s="341">
        <f t="shared" si="141"/>
        <v>280936.83333333337</v>
      </c>
      <c r="AD67" s="353">
        <f>AD65*0.07</f>
        <v>60170.553333333359</v>
      </c>
      <c r="AE67" s="353">
        <f t="shared" ref="AE67:AO67" si="153">AE65*0.07</f>
        <v>60170.553333333359</v>
      </c>
      <c r="AF67" s="353">
        <f t="shared" si="153"/>
        <v>60170.553333333359</v>
      </c>
      <c r="AG67" s="353">
        <f t="shared" si="153"/>
        <v>61337.220000000023</v>
      </c>
      <c r="AH67" s="353">
        <f t="shared" si="153"/>
        <v>61337.220000000023</v>
      </c>
      <c r="AI67" s="353">
        <f t="shared" si="153"/>
        <v>61337.220000000023</v>
      </c>
      <c r="AJ67" s="353">
        <f t="shared" si="153"/>
        <v>61337.220000000023</v>
      </c>
      <c r="AK67" s="353">
        <f t="shared" si="153"/>
        <v>61337.220000000023</v>
      </c>
      <c r="AL67" s="353">
        <f t="shared" si="153"/>
        <v>61337.220000000023</v>
      </c>
      <c r="AM67" s="353">
        <f t="shared" si="153"/>
        <v>61337.220000000023</v>
      </c>
      <c r="AN67" s="353">
        <f t="shared" si="153"/>
        <v>61337.220000000023</v>
      </c>
      <c r="AO67" s="353">
        <f t="shared" si="153"/>
        <v>61337.220000000023</v>
      </c>
      <c r="AP67" s="341">
        <f t="shared" si="142"/>
        <v>732546.64000000013</v>
      </c>
      <c r="AQ67" s="353">
        <f>AQ65*0.07</f>
        <v>63790.7088</v>
      </c>
      <c r="AR67" s="353">
        <f t="shared" ref="AR67:BB67" si="154">AR65*0.07</f>
        <v>63790.7088</v>
      </c>
      <c r="AS67" s="353">
        <f t="shared" si="154"/>
        <v>63790.7088</v>
      </c>
      <c r="AT67" s="353">
        <f t="shared" si="154"/>
        <v>63790.7088</v>
      </c>
      <c r="AU67" s="353">
        <f t="shared" si="154"/>
        <v>63790.7088</v>
      </c>
      <c r="AV67" s="353">
        <f t="shared" si="154"/>
        <v>63790.7088</v>
      </c>
      <c r="AW67" s="353">
        <f t="shared" si="154"/>
        <v>63790.7088</v>
      </c>
      <c r="AX67" s="353">
        <f t="shared" si="154"/>
        <v>63790.7088</v>
      </c>
      <c r="AY67" s="353">
        <f t="shared" si="154"/>
        <v>63790.7088</v>
      </c>
      <c r="AZ67" s="353">
        <f t="shared" si="154"/>
        <v>63790.7088</v>
      </c>
      <c r="BA67" s="353">
        <f t="shared" si="154"/>
        <v>63790.7088</v>
      </c>
      <c r="BB67" s="353">
        <f t="shared" si="154"/>
        <v>63790.7088</v>
      </c>
      <c r="BC67" s="341">
        <f t="shared" si="143"/>
        <v>765488.50560000015</v>
      </c>
      <c r="BD67" s="353">
        <f>BD65*0.07</f>
        <v>66342.337152000036</v>
      </c>
      <c r="BE67" s="353">
        <f t="shared" ref="BE67:BO67" si="155">BE65*0.07</f>
        <v>66342.337152000036</v>
      </c>
      <c r="BF67" s="353">
        <f t="shared" si="155"/>
        <v>66342.337152000036</v>
      </c>
      <c r="BG67" s="353">
        <f t="shared" si="155"/>
        <v>66342.337152000036</v>
      </c>
      <c r="BH67" s="353">
        <f t="shared" si="155"/>
        <v>66342.337152000036</v>
      </c>
      <c r="BI67" s="353">
        <f t="shared" si="155"/>
        <v>66342.337152000036</v>
      </c>
      <c r="BJ67" s="353">
        <f t="shared" si="155"/>
        <v>66342.337152000036</v>
      </c>
      <c r="BK67" s="353">
        <f t="shared" si="155"/>
        <v>66342.337152000036</v>
      </c>
      <c r="BL67" s="353">
        <f t="shared" si="155"/>
        <v>66342.337152000036</v>
      </c>
      <c r="BM67" s="353">
        <f t="shared" si="155"/>
        <v>66342.337152000036</v>
      </c>
      <c r="BN67" s="353">
        <f t="shared" si="155"/>
        <v>66342.337152000036</v>
      </c>
      <c r="BO67" s="353">
        <f t="shared" si="155"/>
        <v>66342.337152000036</v>
      </c>
      <c r="BP67" s="341">
        <f t="shared" si="144"/>
        <v>796108.0458240005</v>
      </c>
      <c r="BQ67" s="341">
        <f t="shared" si="145"/>
        <v>2730655.0247573345</v>
      </c>
      <c r="BR67" s="54"/>
    </row>
    <row r="68" spans="1:70" ht="13.5" customHeight="1">
      <c r="A68" s="55"/>
      <c r="B68" s="381" t="s">
        <v>91</v>
      </c>
      <c r="C68" s="388"/>
      <c r="D68" s="353">
        <f>'Utilization and Salaries'!T126</f>
        <v>24583.333333333332</v>
      </c>
      <c r="E68" s="353">
        <f>'Utilization and Salaries'!U126</f>
        <v>53916.666666666672</v>
      </c>
      <c r="F68" s="353">
        <f>'Utilization and Salaries'!V126</f>
        <v>45516.666666666664</v>
      </c>
      <c r="G68" s="353">
        <f>'Utilization and Salaries'!W126</f>
        <v>75242.666666666657</v>
      </c>
      <c r="H68" s="353">
        <f>'Utilization and Salaries'!X126</f>
        <v>78016.666666666657</v>
      </c>
      <c r="I68" s="353">
        <f>'Utilization and Salaries'!Y126</f>
        <v>49516.666666666664</v>
      </c>
      <c r="J68" s="353">
        <f>'Utilization and Salaries'!Z126</f>
        <v>78016.666666666657</v>
      </c>
      <c r="K68" s="353">
        <f>'Utilization and Salaries'!AA126</f>
        <v>49516.666666666664</v>
      </c>
      <c r="L68" s="353">
        <f>'Utilization and Salaries'!AB126</f>
        <v>44516.666666666664</v>
      </c>
      <c r="M68" s="353">
        <f>'Utilization and Salaries'!AC126</f>
        <v>44516.666666666664</v>
      </c>
      <c r="N68" s="353">
        <f>'Utilization and Salaries'!AD126</f>
        <v>44516.666666666664</v>
      </c>
      <c r="O68" s="353">
        <f>'Utilization and Salaries'!AE126</f>
        <v>49516.666666666664</v>
      </c>
      <c r="P68" s="341">
        <f t="shared" si="140"/>
        <v>637392.66666666663</v>
      </c>
      <c r="Q68" s="353">
        <f>'Utilization and Salaries'!AG126</f>
        <v>45340.000000000007</v>
      </c>
      <c r="R68" s="353">
        <f>'Utilization and Salaries'!AH126</f>
        <v>45340.000000000007</v>
      </c>
      <c r="S68" s="353">
        <f>'Utilization and Salaries'!AI126</f>
        <v>45340.000000000007</v>
      </c>
      <c r="T68" s="353">
        <f>'Utilization and Salaries'!AJ126</f>
        <v>45340.000000000007</v>
      </c>
      <c r="U68" s="353">
        <f>'Utilization and Salaries'!AK126</f>
        <v>45340.000000000007</v>
      </c>
      <c r="V68" s="353">
        <f>'Utilization and Salaries'!AL126</f>
        <v>45340.000000000007</v>
      </c>
      <c r="W68" s="353">
        <f>'Utilization and Salaries'!AM126</f>
        <v>10140</v>
      </c>
      <c r="X68" s="353">
        <f>'Utilization and Salaries'!AN126</f>
        <v>10140</v>
      </c>
      <c r="Y68" s="353">
        <f>'Utilization and Salaries'!AO126</f>
        <v>10140</v>
      </c>
      <c r="Z68" s="353">
        <f>'Utilization and Salaries'!AP126</f>
        <v>10140</v>
      </c>
      <c r="AA68" s="353">
        <f>'Utilization and Salaries'!AQ126</f>
        <v>10140</v>
      </c>
      <c r="AB68" s="353">
        <f>'Utilization and Salaries'!AR126</f>
        <v>10140</v>
      </c>
      <c r="AC68" s="341">
        <f t="shared" si="141"/>
        <v>332880.00000000006</v>
      </c>
      <c r="AD68" s="353">
        <f>'Utilization and Salaries'!AT126</f>
        <v>10545.6</v>
      </c>
      <c r="AE68" s="353">
        <f>'Utilization and Salaries'!AU126</f>
        <v>10545.6</v>
      </c>
      <c r="AF68" s="353">
        <f>'Utilization and Salaries'!AV126</f>
        <v>10545.6</v>
      </c>
      <c r="AG68" s="353">
        <f>'Utilization and Salaries'!AW126</f>
        <v>10545.6</v>
      </c>
      <c r="AH68" s="353">
        <f>'Utilization and Salaries'!AX126</f>
        <v>10545.6</v>
      </c>
      <c r="AI68" s="353">
        <f>'Utilization and Salaries'!AY126</f>
        <v>10545.6</v>
      </c>
      <c r="AJ68" s="353">
        <f>'Utilization and Salaries'!AZ126</f>
        <v>10545.6</v>
      </c>
      <c r="AK68" s="353">
        <f>'Utilization and Salaries'!BA126</f>
        <v>10545.6</v>
      </c>
      <c r="AL68" s="353">
        <f>'Utilization and Salaries'!BB126</f>
        <v>10545.6</v>
      </c>
      <c r="AM68" s="353">
        <f>'Utilization and Salaries'!BC126</f>
        <v>10545.6</v>
      </c>
      <c r="AN68" s="353">
        <f>'Utilization and Salaries'!BD126</f>
        <v>10545.6</v>
      </c>
      <c r="AO68" s="353">
        <f>'Utilization and Salaries'!BE126</f>
        <v>10545.6</v>
      </c>
      <c r="AP68" s="341">
        <f t="shared" si="142"/>
        <v>126547.20000000003</v>
      </c>
      <c r="AQ68" s="353">
        <f>'Utilization and Salaries'!BG126</f>
        <v>10967.423999999999</v>
      </c>
      <c r="AR68" s="353">
        <f>'Utilization and Salaries'!BH126</f>
        <v>10967.423999999999</v>
      </c>
      <c r="AS68" s="353">
        <f>'Utilization and Salaries'!BI126</f>
        <v>10967.423999999999</v>
      </c>
      <c r="AT68" s="353">
        <f>'Utilization and Salaries'!BJ126</f>
        <v>10967.423999999999</v>
      </c>
      <c r="AU68" s="353">
        <f>'Utilization and Salaries'!BK126</f>
        <v>10967.423999999999</v>
      </c>
      <c r="AV68" s="353">
        <f>'Utilization and Salaries'!BL126</f>
        <v>10967.423999999999</v>
      </c>
      <c r="AW68" s="353">
        <f>'Utilization and Salaries'!BM126</f>
        <v>10967.423999999999</v>
      </c>
      <c r="AX68" s="353">
        <f>'Utilization and Salaries'!BN126</f>
        <v>10967.423999999999</v>
      </c>
      <c r="AY68" s="353">
        <f>'Utilization and Salaries'!BO126</f>
        <v>10967.423999999999</v>
      </c>
      <c r="AZ68" s="353">
        <f>'Utilization and Salaries'!BP126</f>
        <v>10967.423999999999</v>
      </c>
      <c r="BA68" s="353">
        <f>'Utilization and Salaries'!BQ126</f>
        <v>10967.423999999999</v>
      </c>
      <c r="BB68" s="353">
        <f>'Utilization and Salaries'!BR126</f>
        <v>10967.423999999999</v>
      </c>
      <c r="BC68" s="341">
        <f t="shared" si="143"/>
        <v>131609.08799999999</v>
      </c>
      <c r="BD68" s="353">
        <f>'Utilization and Salaries'!BT126</f>
        <v>11406.12096</v>
      </c>
      <c r="BE68" s="353">
        <f>'Utilization and Salaries'!BU126</f>
        <v>11406.12096</v>
      </c>
      <c r="BF68" s="353">
        <f>'Utilization and Salaries'!BV126</f>
        <v>11406.12096</v>
      </c>
      <c r="BG68" s="353">
        <f>'Utilization and Salaries'!BW126</f>
        <v>11406.12096</v>
      </c>
      <c r="BH68" s="353">
        <f>'Utilization and Salaries'!BX126</f>
        <v>11406.12096</v>
      </c>
      <c r="BI68" s="353">
        <f>'Utilization and Salaries'!BY126</f>
        <v>11406.12096</v>
      </c>
      <c r="BJ68" s="353">
        <f>'Utilization and Salaries'!BZ126</f>
        <v>11406.12096</v>
      </c>
      <c r="BK68" s="353">
        <f>'Utilization and Salaries'!CA126</f>
        <v>11406.12096</v>
      </c>
      <c r="BL68" s="353">
        <f>'Utilization and Salaries'!CB126</f>
        <v>11406.12096</v>
      </c>
      <c r="BM68" s="353">
        <f>'Utilization and Salaries'!CC126</f>
        <v>11406.12096</v>
      </c>
      <c r="BN68" s="353">
        <f>'Utilization and Salaries'!CD126</f>
        <v>11406.12096</v>
      </c>
      <c r="BO68" s="353">
        <f>'Utilization and Salaries'!CE126</f>
        <v>11406.12096</v>
      </c>
      <c r="BP68" s="341">
        <f t="shared" si="144"/>
        <v>136873.45152</v>
      </c>
      <c r="BQ68" s="341">
        <f t="shared" si="145"/>
        <v>1365302.4061866668</v>
      </c>
      <c r="BR68" s="54"/>
    </row>
    <row r="69" spans="1:70" ht="13.5" customHeight="1">
      <c r="A69" s="57"/>
      <c r="B69" s="382" t="s">
        <v>92</v>
      </c>
      <c r="C69" s="382"/>
      <c r="D69" s="355">
        <f t="shared" ref="D69:BQ69" si="156">SUM(D65:D68)</f>
        <v>194720.83333333331</v>
      </c>
      <c r="E69" s="355">
        <f t="shared" si="156"/>
        <v>230391.66666666669</v>
      </c>
      <c r="F69" s="355">
        <f t="shared" si="156"/>
        <v>241491.66666666666</v>
      </c>
      <c r="G69" s="355">
        <f t="shared" si="156"/>
        <v>303880.16666666663</v>
      </c>
      <c r="H69" s="355">
        <f t="shared" si="156"/>
        <v>306654.16666666663</v>
      </c>
      <c r="I69" s="355">
        <f t="shared" si="156"/>
        <v>278154.16666666669</v>
      </c>
      <c r="J69" s="355">
        <f t="shared" si="156"/>
        <v>306654.16666666663</v>
      </c>
      <c r="K69" s="355">
        <f t="shared" si="156"/>
        <v>278154.16666666669</v>
      </c>
      <c r="L69" s="355">
        <f t="shared" si="156"/>
        <v>163154.16666666669</v>
      </c>
      <c r="M69" s="355">
        <f t="shared" si="156"/>
        <v>273154.16666666669</v>
      </c>
      <c r="N69" s="355">
        <f t="shared" si="156"/>
        <v>273154.16666666669</v>
      </c>
      <c r="O69" s="355">
        <f t="shared" si="156"/>
        <v>278154.16666666669</v>
      </c>
      <c r="P69" s="356">
        <f t="shared" si="156"/>
        <v>3127717.666666667</v>
      </c>
      <c r="Q69" s="355">
        <f t="shared" si="156"/>
        <v>283123</v>
      </c>
      <c r="R69" s="355">
        <f t="shared" si="156"/>
        <v>283123</v>
      </c>
      <c r="S69" s="355">
        <f t="shared" si="156"/>
        <v>283123</v>
      </c>
      <c r="T69" s="355">
        <f t="shared" si="156"/>
        <v>300673</v>
      </c>
      <c r="U69" s="355">
        <f t="shared" si="156"/>
        <v>333823</v>
      </c>
      <c r="V69" s="355">
        <f t="shared" si="156"/>
        <v>395735.5</v>
      </c>
      <c r="W69" s="355">
        <f t="shared" si="156"/>
        <v>524823</v>
      </c>
      <c r="X69" s="355">
        <f t="shared" si="156"/>
        <v>524823</v>
      </c>
      <c r="Y69" s="355">
        <f t="shared" si="156"/>
        <v>524823</v>
      </c>
      <c r="Z69" s="355">
        <f t="shared" si="156"/>
        <v>524823</v>
      </c>
      <c r="AA69" s="355">
        <f t="shared" si="156"/>
        <v>524823</v>
      </c>
      <c r="AB69" s="355">
        <f t="shared" si="156"/>
        <v>524823</v>
      </c>
      <c r="AC69" s="356">
        <f t="shared" si="156"/>
        <v>5028538.5</v>
      </c>
      <c r="AD69" s="355">
        <f t="shared" si="156"/>
        <v>1016253.4200000003</v>
      </c>
      <c r="AE69" s="355">
        <f t="shared" si="156"/>
        <v>1016253.4200000003</v>
      </c>
      <c r="AF69" s="355">
        <f t="shared" si="156"/>
        <v>1016253.4200000003</v>
      </c>
      <c r="AG69" s="355">
        <f t="shared" si="156"/>
        <v>1035753.4200000003</v>
      </c>
      <c r="AH69" s="355">
        <f t="shared" si="156"/>
        <v>1035753.4200000003</v>
      </c>
      <c r="AI69" s="355">
        <f t="shared" si="156"/>
        <v>1035753.4200000003</v>
      </c>
      <c r="AJ69" s="355">
        <f t="shared" si="156"/>
        <v>1035753.4200000003</v>
      </c>
      <c r="AK69" s="355">
        <f t="shared" si="156"/>
        <v>1035753.4200000003</v>
      </c>
      <c r="AL69" s="355">
        <f t="shared" si="156"/>
        <v>1035753.4200000003</v>
      </c>
      <c r="AM69" s="355">
        <f t="shared" si="156"/>
        <v>1035753.4200000003</v>
      </c>
      <c r="AN69" s="355">
        <f t="shared" si="156"/>
        <v>1035753.4200000003</v>
      </c>
      <c r="AO69" s="355">
        <f t="shared" si="156"/>
        <v>1035753.4200000003</v>
      </c>
      <c r="AP69" s="356">
        <f t="shared" si="156"/>
        <v>12370541.040000003</v>
      </c>
      <c r="AQ69" s="355">
        <f t="shared" si="156"/>
        <v>1077183.5567999999</v>
      </c>
      <c r="AR69" s="355">
        <f t="shared" si="156"/>
        <v>1077183.5567999999</v>
      </c>
      <c r="AS69" s="355">
        <f t="shared" si="156"/>
        <v>1077183.5567999999</v>
      </c>
      <c r="AT69" s="355">
        <f t="shared" si="156"/>
        <v>1077183.5567999999</v>
      </c>
      <c r="AU69" s="355">
        <f t="shared" si="156"/>
        <v>1077183.5567999999</v>
      </c>
      <c r="AV69" s="355">
        <f t="shared" si="156"/>
        <v>1077183.5567999999</v>
      </c>
      <c r="AW69" s="355">
        <f t="shared" si="156"/>
        <v>1077183.5567999999</v>
      </c>
      <c r="AX69" s="355">
        <f t="shared" si="156"/>
        <v>1077183.5567999999</v>
      </c>
      <c r="AY69" s="355">
        <f t="shared" si="156"/>
        <v>1077183.5567999999</v>
      </c>
      <c r="AZ69" s="355">
        <f t="shared" si="156"/>
        <v>1077183.5567999999</v>
      </c>
      <c r="BA69" s="355">
        <f t="shared" si="156"/>
        <v>1077183.5567999999</v>
      </c>
      <c r="BB69" s="355">
        <f t="shared" si="156"/>
        <v>1077183.5567999999</v>
      </c>
      <c r="BC69" s="356">
        <f t="shared" si="156"/>
        <v>12926202.681599999</v>
      </c>
      <c r="BD69" s="355">
        <f t="shared" si="156"/>
        <v>1120270.8990720003</v>
      </c>
      <c r="BE69" s="355">
        <f t="shared" si="156"/>
        <v>1120270.8990720003</v>
      </c>
      <c r="BF69" s="355">
        <f t="shared" si="156"/>
        <v>1120270.8990720003</v>
      </c>
      <c r="BG69" s="355">
        <f t="shared" si="156"/>
        <v>1120270.8990720003</v>
      </c>
      <c r="BH69" s="355">
        <f t="shared" si="156"/>
        <v>1120270.8990720003</v>
      </c>
      <c r="BI69" s="355">
        <f t="shared" si="156"/>
        <v>1120270.8990720003</v>
      </c>
      <c r="BJ69" s="355">
        <f t="shared" si="156"/>
        <v>1120270.8990720003</v>
      </c>
      <c r="BK69" s="355">
        <f t="shared" si="156"/>
        <v>1120270.8990720003</v>
      </c>
      <c r="BL69" s="355">
        <f t="shared" si="156"/>
        <v>1120270.8990720003</v>
      </c>
      <c r="BM69" s="355">
        <f t="shared" si="156"/>
        <v>1120270.8990720003</v>
      </c>
      <c r="BN69" s="355">
        <f t="shared" si="156"/>
        <v>1120270.8990720003</v>
      </c>
      <c r="BO69" s="355">
        <f t="shared" si="156"/>
        <v>1120270.8990720003</v>
      </c>
      <c r="BP69" s="356">
        <f t="shared" si="156"/>
        <v>13443250.788864002</v>
      </c>
      <c r="BQ69" s="356">
        <f t="shared" si="156"/>
        <v>46896250.677130669</v>
      </c>
      <c r="BR69" s="84"/>
    </row>
    <row r="71" spans="1:70" ht="13.5" customHeight="1">
      <c r="A71" s="67" t="s">
        <v>93</v>
      </c>
      <c r="B71" s="380"/>
      <c r="C71" s="380"/>
      <c r="D71" s="349"/>
      <c r="E71" s="349"/>
      <c r="F71" s="349"/>
      <c r="G71" s="349"/>
      <c r="H71" s="349"/>
      <c r="I71" s="349"/>
      <c r="J71" s="349"/>
      <c r="K71" s="349"/>
      <c r="L71" s="349"/>
      <c r="M71" s="349"/>
      <c r="N71" s="349"/>
      <c r="O71" s="349"/>
      <c r="P71" s="350"/>
      <c r="Q71" s="349"/>
      <c r="R71" s="349"/>
      <c r="S71" s="349"/>
      <c r="T71" s="349"/>
      <c r="U71" s="349"/>
      <c r="V71" s="349"/>
      <c r="W71" s="349"/>
      <c r="X71" s="349"/>
      <c r="Y71" s="349"/>
      <c r="Z71" s="349"/>
      <c r="AA71" s="349"/>
      <c r="AB71" s="349"/>
      <c r="AC71" s="350"/>
      <c r="AD71" s="349"/>
      <c r="AE71" s="349"/>
      <c r="AF71" s="349"/>
      <c r="AG71" s="349"/>
      <c r="AH71" s="349"/>
      <c r="AI71" s="349"/>
      <c r="AJ71" s="349"/>
      <c r="AK71" s="349"/>
      <c r="AL71" s="349"/>
      <c r="AM71" s="349"/>
      <c r="AN71" s="349"/>
      <c r="AO71" s="349"/>
      <c r="AP71" s="350"/>
      <c r="AQ71" s="351"/>
      <c r="AR71" s="351"/>
      <c r="AS71" s="351"/>
      <c r="AT71" s="351"/>
      <c r="AU71" s="351"/>
      <c r="AV71" s="351"/>
      <c r="AW71" s="351"/>
      <c r="AX71" s="351"/>
      <c r="AY71" s="351"/>
      <c r="AZ71" s="351"/>
      <c r="BA71" s="351"/>
      <c r="BB71" s="351"/>
      <c r="BC71" s="352"/>
      <c r="BD71" s="351"/>
      <c r="BE71" s="351"/>
      <c r="BF71" s="351"/>
      <c r="BG71" s="351"/>
      <c r="BH71" s="351"/>
      <c r="BI71" s="351"/>
      <c r="BJ71" s="351"/>
      <c r="BK71" s="351"/>
      <c r="BL71" s="351"/>
      <c r="BM71" s="351"/>
      <c r="BN71" s="351"/>
      <c r="BO71" s="351"/>
      <c r="BP71" s="352"/>
      <c r="BQ71" s="352"/>
    </row>
    <row r="72" spans="1:70" ht="13.5" customHeight="1">
      <c r="A72" s="68"/>
      <c r="B72" s="353" t="s">
        <v>95</v>
      </c>
      <c r="C72" s="391">
        <v>0.03</v>
      </c>
      <c r="D72" s="361">
        <v>0</v>
      </c>
      <c r="E72" s="361">
        <f t="shared" ref="E72:F72" si="157">D72</f>
        <v>0</v>
      </c>
      <c r="F72" s="361">
        <f t="shared" si="157"/>
        <v>0</v>
      </c>
      <c r="G72" s="361">
        <f>F72*(1+$C72)</f>
        <v>0</v>
      </c>
      <c r="H72" s="361">
        <f>G72*(1+$C72)</f>
        <v>0</v>
      </c>
      <c r="I72" s="361">
        <f t="shared" ref="F72:O75" si="158">H72*(1+$C72)</f>
        <v>0</v>
      </c>
      <c r="J72" s="361">
        <f t="shared" si="158"/>
        <v>0</v>
      </c>
      <c r="K72" s="361">
        <f t="shared" si="158"/>
        <v>0</v>
      </c>
      <c r="L72" s="361">
        <f t="shared" si="158"/>
        <v>0</v>
      </c>
      <c r="M72" s="361">
        <f t="shared" si="158"/>
        <v>0</v>
      </c>
      <c r="N72" s="361">
        <f t="shared" si="158"/>
        <v>0</v>
      </c>
      <c r="O72" s="361">
        <f t="shared" si="158"/>
        <v>0</v>
      </c>
      <c r="P72" s="362">
        <f t="shared" ref="P72:P75" si="159">SUM(D72:O72)</f>
        <v>0</v>
      </c>
      <c r="Q72" s="361">
        <f t="shared" ref="Q72" si="160">O72*(1+$C72)</f>
        <v>0</v>
      </c>
      <c r="R72" s="361">
        <f t="shared" ref="R72" si="161">Q72*(1+$C72)</f>
        <v>0</v>
      </c>
      <c r="S72" s="361">
        <f t="shared" ref="S72" si="162">R72*(1+$C72)</f>
        <v>0</v>
      </c>
      <c r="T72" s="361">
        <f t="shared" ref="T72" si="163">S72*(1+$C72)</f>
        <v>0</v>
      </c>
      <c r="U72" s="361">
        <f t="shared" ref="U72" si="164">T72*(1+$C72)</f>
        <v>0</v>
      </c>
      <c r="V72" s="361">
        <f t="shared" ref="V72" si="165">U72*(1+$C72)</f>
        <v>0</v>
      </c>
      <c r="W72" s="361">
        <f t="shared" ref="W72" si="166">V72*(1+$C72)</f>
        <v>0</v>
      </c>
      <c r="X72" s="361">
        <f t="shared" ref="X72" si="167">W72*(1+$C72)</f>
        <v>0</v>
      </c>
      <c r="Y72" s="361">
        <f t="shared" ref="Y72" si="168">X72*(1+$C72)</f>
        <v>0</v>
      </c>
      <c r="Z72" s="361">
        <f t="shared" ref="Z72" si="169">Y72*(1+$C72)</f>
        <v>0</v>
      </c>
      <c r="AA72" s="361">
        <f t="shared" ref="AA72" si="170">Z72*(1+$C72)</f>
        <v>0</v>
      </c>
      <c r="AB72" s="361">
        <f>AA72*(1+$C72)</f>
        <v>0</v>
      </c>
      <c r="AC72" s="362">
        <f t="shared" ref="AC72:AC75" si="171">SUM(Q72:AB72)</f>
        <v>0</v>
      </c>
      <c r="AD72" s="361">
        <f t="shared" ref="AD72:AD75" si="172">AB72*(1+$C72)</f>
        <v>0</v>
      </c>
      <c r="AE72" s="361">
        <f t="shared" ref="AE72:AE75" si="173">AD72*(1+$C72)</f>
        <v>0</v>
      </c>
      <c r="AF72" s="361">
        <f t="shared" ref="AF72:AF75" si="174">AE72*(1+$C72)</f>
        <v>0</v>
      </c>
      <c r="AG72" s="361">
        <f t="shared" ref="AG72:AG75" si="175">AF72*(1+$C72)</f>
        <v>0</v>
      </c>
      <c r="AH72" s="361">
        <f t="shared" ref="AH72:AH75" si="176">AG72*(1+$C72)</f>
        <v>0</v>
      </c>
      <c r="AI72" s="361">
        <f t="shared" ref="AI72:AI75" si="177">AH72*(1+$C72)</f>
        <v>0</v>
      </c>
      <c r="AJ72" s="361">
        <f t="shared" ref="AJ72:AJ75" si="178">AI72*(1+$C72)</f>
        <v>0</v>
      </c>
      <c r="AK72" s="361">
        <f t="shared" ref="AK72:AK75" si="179">AJ72*(1+$C72)</f>
        <v>0</v>
      </c>
      <c r="AL72" s="361">
        <f t="shared" ref="AL72:AL75" si="180">AK72*(1+$C72)</f>
        <v>0</v>
      </c>
      <c r="AM72" s="361">
        <f t="shared" ref="AM72:AM75" si="181">AL72*(1+$C72)</f>
        <v>0</v>
      </c>
      <c r="AN72" s="361">
        <f t="shared" ref="AN72:AO75" si="182">AM72*(1+$C72)</f>
        <v>0</v>
      </c>
      <c r="AO72" s="361">
        <f>AN72*(1+$C72)</f>
        <v>0</v>
      </c>
      <c r="AP72" s="362">
        <f t="shared" ref="AP72:AP75" si="183">SUM(AD72:AO72)</f>
        <v>0</v>
      </c>
      <c r="AQ72" s="361">
        <f t="shared" ref="AQ72:AQ75" si="184">AO72*(1+$C72)</f>
        <v>0</v>
      </c>
      <c r="AR72" s="361">
        <f t="shared" ref="AR72:AR75" si="185">AQ72*(1+$C72)</f>
        <v>0</v>
      </c>
      <c r="AS72" s="361">
        <f t="shared" ref="AS72:AS75" si="186">AR72*(1+$C72)</f>
        <v>0</v>
      </c>
      <c r="AT72" s="361">
        <f t="shared" ref="AT72:AT75" si="187">AS72*(1+$C72)</f>
        <v>0</v>
      </c>
      <c r="AU72" s="361">
        <f t="shared" ref="AU72:AU75" si="188">AT72*(1+$C72)</f>
        <v>0</v>
      </c>
      <c r="AV72" s="361">
        <f t="shared" ref="AV72:AV75" si="189">AU72*(1+$C72)</f>
        <v>0</v>
      </c>
      <c r="AW72" s="361">
        <f t="shared" ref="AW72:AW75" si="190">AV72*(1+$C72)</f>
        <v>0</v>
      </c>
      <c r="AX72" s="361">
        <f t="shared" ref="AX72:AX75" si="191">AW72*(1+$C72)</f>
        <v>0</v>
      </c>
      <c r="AY72" s="361">
        <f t="shared" ref="AY72:AY75" si="192">AX72*(1+$C72)</f>
        <v>0</v>
      </c>
      <c r="AZ72" s="361">
        <f t="shared" ref="AZ72:AZ75" si="193">AY72*(1+$C72)</f>
        <v>0</v>
      </c>
      <c r="BA72" s="361">
        <f t="shared" ref="BA72:BB75" si="194">AZ72*(1+$C72)</f>
        <v>0</v>
      </c>
      <c r="BB72" s="361">
        <f>BA72*(1+$C72)</f>
        <v>0</v>
      </c>
      <c r="BC72" s="341">
        <f t="shared" ref="BC72:BC75" si="195">SUM(AQ72:BB72)</f>
        <v>0</v>
      </c>
      <c r="BD72" s="361">
        <f t="shared" ref="BD72:BD75" si="196">BB72*(1+$C72)</f>
        <v>0</v>
      </c>
      <c r="BE72" s="361">
        <f t="shared" ref="BE72:BE75" si="197">BD72*(1+$C72)</f>
        <v>0</v>
      </c>
      <c r="BF72" s="361">
        <f t="shared" ref="BF72:BF75" si="198">BE72*(1+$C72)</f>
        <v>0</v>
      </c>
      <c r="BG72" s="361">
        <f t="shared" ref="BG72:BG75" si="199">BF72*(1+$C72)</f>
        <v>0</v>
      </c>
      <c r="BH72" s="361">
        <f t="shared" ref="BH72:BH75" si="200">BG72*(1+$C72)</f>
        <v>0</v>
      </c>
      <c r="BI72" s="361">
        <f t="shared" ref="BI72:BI75" si="201">BH72*(1+$C72)</f>
        <v>0</v>
      </c>
      <c r="BJ72" s="361">
        <f t="shared" ref="BJ72:BJ75" si="202">BI72*(1+$C72)</f>
        <v>0</v>
      </c>
      <c r="BK72" s="361">
        <f t="shared" ref="BK72:BK75" si="203">BJ72*(1+$C72)</f>
        <v>0</v>
      </c>
      <c r="BL72" s="361">
        <f t="shared" ref="BL72:BL75" si="204">BK72*(1+$C72)</f>
        <v>0</v>
      </c>
      <c r="BM72" s="361">
        <f t="shared" ref="BM72:BM75" si="205">BL72*(1+$C72)</f>
        <v>0</v>
      </c>
      <c r="BN72" s="361">
        <f t="shared" ref="BN72:BO75" si="206">BM72*(1+$C72)</f>
        <v>0</v>
      </c>
      <c r="BO72" s="361">
        <f>BN72*(1+$C72)</f>
        <v>0</v>
      </c>
      <c r="BP72" s="341">
        <f t="shared" ref="BP72:BP75" si="207">SUM(BD72:BO72)</f>
        <v>0</v>
      </c>
      <c r="BQ72" s="341">
        <f t="shared" ref="BQ72:BQ75" si="208">P72+AC72+AP72+BC72+BP72</f>
        <v>0</v>
      </c>
    </row>
    <row r="73" spans="1:70" ht="13.5" customHeight="1">
      <c r="A73" s="68"/>
      <c r="B73" s="353" t="s">
        <v>97</v>
      </c>
      <c r="C73" s="391">
        <v>0.03</v>
      </c>
      <c r="D73" s="361">
        <v>0</v>
      </c>
      <c r="E73" s="361">
        <f t="shared" ref="E73" si="209">D73</f>
        <v>0</v>
      </c>
      <c r="F73" s="361">
        <v>5000</v>
      </c>
      <c r="G73" s="361">
        <v>1500</v>
      </c>
      <c r="H73" s="361">
        <f>G73*(1+$C73)</f>
        <v>1545</v>
      </c>
      <c r="I73" s="361">
        <f t="shared" si="158"/>
        <v>1591.3500000000001</v>
      </c>
      <c r="J73" s="361">
        <f t="shared" si="158"/>
        <v>1639.0905000000002</v>
      </c>
      <c r="K73" s="361">
        <f t="shared" si="158"/>
        <v>1688.2632150000004</v>
      </c>
      <c r="L73" s="361">
        <f t="shared" si="158"/>
        <v>1738.9111114500004</v>
      </c>
      <c r="M73" s="361">
        <f t="shared" si="158"/>
        <v>1791.0784447935005</v>
      </c>
      <c r="N73" s="361">
        <f t="shared" si="158"/>
        <v>1844.8107981373055</v>
      </c>
      <c r="O73" s="361">
        <f t="shared" si="158"/>
        <v>1900.1551220814247</v>
      </c>
      <c r="P73" s="362">
        <f t="shared" si="159"/>
        <v>20238.659191462237</v>
      </c>
      <c r="Q73" s="361">
        <f t="shared" ref="Q73:Q75" si="210">O73*(1+$C73)</f>
        <v>1957.1597757438674</v>
      </c>
      <c r="R73" s="361">
        <f t="shared" ref="R73:R75" si="211">Q73*(1+$C73)</f>
        <v>2015.8745690161834</v>
      </c>
      <c r="S73" s="361">
        <f t="shared" ref="S73:S75" si="212">R73*(1+$C73)</f>
        <v>2076.3508060866689</v>
      </c>
      <c r="T73" s="361">
        <f t="shared" ref="T73:T75" si="213">S73*(1+$C73)</f>
        <v>2138.641330269269</v>
      </c>
      <c r="U73" s="361">
        <f t="shared" ref="U73:U75" si="214">T73*(1+$C73)</f>
        <v>2202.8005701773473</v>
      </c>
      <c r="V73" s="361">
        <f t="shared" ref="V73:V75" si="215">U73*(1+$C73)</f>
        <v>2268.8845872826678</v>
      </c>
      <c r="W73" s="361">
        <f t="shared" ref="W73:W75" si="216">V73*(1+$C73)</f>
        <v>2336.951124901148</v>
      </c>
      <c r="X73" s="361">
        <f t="shared" ref="X73:X75" si="217">W73*(1+$C73)</f>
        <v>2407.0596586481824</v>
      </c>
      <c r="Y73" s="361">
        <f t="shared" ref="Y73:Y75" si="218">X73*(1+$C73)</f>
        <v>2479.2714484076282</v>
      </c>
      <c r="Z73" s="361">
        <f t="shared" ref="Z73:Z75" si="219">Y73*(1+$C73)</f>
        <v>2553.6495918598571</v>
      </c>
      <c r="AA73" s="361">
        <f t="shared" ref="AA73:AA75" si="220">Z73*(1+$C73)</f>
        <v>2630.2590796156528</v>
      </c>
      <c r="AB73" s="361">
        <f t="shared" ref="AB73:AB75" si="221">AA73*(1+$C73)</f>
        <v>2709.1668520041226</v>
      </c>
      <c r="AC73" s="362">
        <f t="shared" si="171"/>
        <v>27776.069394012597</v>
      </c>
      <c r="AD73" s="361">
        <f t="shared" si="172"/>
        <v>2790.4418575642462</v>
      </c>
      <c r="AE73" s="361">
        <f t="shared" si="173"/>
        <v>2874.1551132911736</v>
      </c>
      <c r="AF73" s="361">
        <f t="shared" si="174"/>
        <v>2960.379766689909</v>
      </c>
      <c r="AG73" s="361">
        <f t="shared" si="175"/>
        <v>3049.1911596906066</v>
      </c>
      <c r="AH73" s="361">
        <f t="shared" si="176"/>
        <v>3140.666894481325</v>
      </c>
      <c r="AI73" s="361">
        <f t="shared" si="177"/>
        <v>3234.886901315765</v>
      </c>
      <c r="AJ73" s="361">
        <f t="shared" si="178"/>
        <v>3331.9335083552382</v>
      </c>
      <c r="AK73" s="361">
        <f t="shared" si="179"/>
        <v>3431.8915136058954</v>
      </c>
      <c r="AL73" s="361">
        <f t="shared" si="180"/>
        <v>3534.8482590140725</v>
      </c>
      <c r="AM73" s="361">
        <f t="shared" si="181"/>
        <v>3640.893706784495</v>
      </c>
      <c r="AN73" s="361">
        <f t="shared" si="182"/>
        <v>3750.1205179880299</v>
      </c>
      <c r="AO73" s="361">
        <f t="shared" si="182"/>
        <v>3862.6241335276709</v>
      </c>
      <c r="AP73" s="362">
        <f t="shared" si="183"/>
        <v>39602.033332308434</v>
      </c>
      <c r="AQ73" s="361">
        <f t="shared" si="184"/>
        <v>3978.5028575335009</v>
      </c>
      <c r="AR73" s="361">
        <f t="shared" si="185"/>
        <v>4097.8579432595061</v>
      </c>
      <c r="AS73" s="361">
        <f t="shared" si="186"/>
        <v>4220.7936815572912</v>
      </c>
      <c r="AT73" s="361">
        <f t="shared" si="187"/>
        <v>4347.4174920040105</v>
      </c>
      <c r="AU73" s="361">
        <f t="shared" si="188"/>
        <v>4477.8400167641312</v>
      </c>
      <c r="AV73" s="361">
        <f t="shared" si="189"/>
        <v>4612.1752172670549</v>
      </c>
      <c r="AW73" s="361">
        <f t="shared" si="190"/>
        <v>4750.5404737850668</v>
      </c>
      <c r="AX73" s="361">
        <f t="shared" si="191"/>
        <v>4893.0566879986191</v>
      </c>
      <c r="AY73" s="361">
        <f t="shared" si="192"/>
        <v>5039.8483886385775</v>
      </c>
      <c r="AZ73" s="361">
        <f t="shared" si="193"/>
        <v>5191.0438402977352</v>
      </c>
      <c r="BA73" s="361">
        <f t="shared" si="194"/>
        <v>5346.775155506667</v>
      </c>
      <c r="BB73" s="361">
        <f t="shared" si="194"/>
        <v>5507.1784101718667</v>
      </c>
      <c r="BC73" s="341">
        <f t="shared" si="195"/>
        <v>56463.030164784024</v>
      </c>
      <c r="BD73" s="361">
        <f t="shared" si="196"/>
        <v>5672.3937624770233</v>
      </c>
      <c r="BE73" s="361">
        <f t="shared" si="197"/>
        <v>5842.5655753513338</v>
      </c>
      <c r="BF73" s="361">
        <f t="shared" si="198"/>
        <v>6017.8425426118738</v>
      </c>
      <c r="BG73" s="361">
        <f t="shared" si="199"/>
        <v>6198.3778188902297</v>
      </c>
      <c r="BH73" s="361">
        <f t="shared" si="200"/>
        <v>6384.3291534569371</v>
      </c>
      <c r="BI73" s="361">
        <f t="shared" si="201"/>
        <v>6575.859028060645</v>
      </c>
      <c r="BJ73" s="361">
        <f t="shared" si="202"/>
        <v>6773.1347989024644</v>
      </c>
      <c r="BK73" s="361">
        <f t="shared" si="203"/>
        <v>6976.3288428695387</v>
      </c>
      <c r="BL73" s="361">
        <f t="shared" si="204"/>
        <v>7185.6187081556254</v>
      </c>
      <c r="BM73" s="361">
        <f t="shared" si="205"/>
        <v>7401.1872694002941</v>
      </c>
      <c r="BN73" s="361">
        <f t="shared" si="206"/>
        <v>7623.2228874823031</v>
      </c>
      <c r="BO73" s="361">
        <f t="shared" si="206"/>
        <v>7851.9195741067724</v>
      </c>
      <c r="BP73" s="341">
        <f t="shared" si="207"/>
        <v>80502.779961765031</v>
      </c>
      <c r="BQ73" s="341">
        <f t="shared" si="208"/>
        <v>224582.57204433234</v>
      </c>
    </row>
    <row r="74" spans="1:70" ht="13.5" customHeight="1">
      <c r="A74" s="68"/>
      <c r="B74" s="353" t="s">
        <v>98</v>
      </c>
      <c r="C74" s="391">
        <v>0.03</v>
      </c>
      <c r="D74" s="361">
        <v>0</v>
      </c>
      <c r="E74" s="361">
        <v>0</v>
      </c>
      <c r="F74" s="361">
        <f t="shared" si="158"/>
        <v>0</v>
      </c>
      <c r="G74" s="361">
        <f t="shared" si="158"/>
        <v>0</v>
      </c>
      <c r="H74" s="361">
        <f t="shared" si="158"/>
        <v>0</v>
      </c>
      <c r="I74" s="361">
        <f t="shared" si="158"/>
        <v>0</v>
      </c>
      <c r="J74" s="361">
        <f t="shared" si="158"/>
        <v>0</v>
      </c>
      <c r="K74" s="361">
        <f t="shared" si="158"/>
        <v>0</v>
      </c>
      <c r="L74" s="361">
        <f t="shared" si="158"/>
        <v>0</v>
      </c>
      <c r="M74" s="361"/>
      <c r="N74" s="361"/>
      <c r="O74" s="361">
        <v>0</v>
      </c>
      <c r="P74" s="362">
        <f t="shared" si="159"/>
        <v>0</v>
      </c>
      <c r="Q74" s="361">
        <f t="shared" si="210"/>
        <v>0</v>
      </c>
      <c r="R74" s="361">
        <f t="shared" si="211"/>
        <v>0</v>
      </c>
      <c r="S74" s="361">
        <f t="shared" si="212"/>
        <v>0</v>
      </c>
      <c r="T74" s="361">
        <f t="shared" si="213"/>
        <v>0</v>
      </c>
      <c r="U74" s="361">
        <f t="shared" si="214"/>
        <v>0</v>
      </c>
      <c r="V74" s="361">
        <f t="shared" si="215"/>
        <v>0</v>
      </c>
      <c r="W74" s="361">
        <f t="shared" si="216"/>
        <v>0</v>
      </c>
      <c r="X74" s="361">
        <f t="shared" si="217"/>
        <v>0</v>
      </c>
      <c r="Y74" s="361">
        <f t="shared" si="218"/>
        <v>0</v>
      </c>
      <c r="Z74" s="361">
        <f t="shared" si="219"/>
        <v>0</v>
      </c>
      <c r="AA74" s="361">
        <f t="shared" si="220"/>
        <v>0</v>
      </c>
      <c r="AB74" s="361">
        <f t="shared" si="221"/>
        <v>0</v>
      </c>
      <c r="AC74" s="362">
        <f t="shared" si="171"/>
        <v>0</v>
      </c>
      <c r="AD74" s="361">
        <f t="shared" si="172"/>
        <v>0</v>
      </c>
      <c r="AE74" s="361">
        <f t="shared" si="173"/>
        <v>0</v>
      </c>
      <c r="AF74" s="361">
        <f t="shared" si="174"/>
        <v>0</v>
      </c>
      <c r="AG74" s="361">
        <f t="shared" si="175"/>
        <v>0</v>
      </c>
      <c r="AH74" s="361">
        <f t="shared" si="176"/>
        <v>0</v>
      </c>
      <c r="AI74" s="361">
        <f t="shared" si="177"/>
        <v>0</v>
      </c>
      <c r="AJ74" s="361">
        <f t="shared" si="178"/>
        <v>0</v>
      </c>
      <c r="AK74" s="361">
        <f t="shared" si="179"/>
        <v>0</v>
      </c>
      <c r="AL74" s="361">
        <f t="shared" si="180"/>
        <v>0</v>
      </c>
      <c r="AM74" s="361">
        <f t="shared" si="181"/>
        <v>0</v>
      </c>
      <c r="AN74" s="361">
        <f t="shared" si="182"/>
        <v>0</v>
      </c>
      <c r="AO74" s="361">
        <f t="shared" si="182"/>
        <v>0</v>
      </c>
      <c r="AP74" s="362">
        <f t="shared" si="183"/>
        <v>0</v>
      </c>
      <c r="AQ74" s="361">
        <f t="shared" si="184"/>
        <v>0</v>
      </c>
      <c r="AR74" s="361">
        <f t="shared" si="185"/>
        <v>0</v>
      </c>
      <c r="AS74" s="361">
        <f t="shared" si="186"/>
        <v>0</v>
      </c>
      <c r="AT74" s="361">
        <f t="shared" si="187"/>
        <v>0</v>
      </c>
      <c r="AU74" s="361">
        <f t="shared" si="188"/>
        <v>0</v>
      </c>
      <c r="AV74" s="361">
        <f t="shared" si="189"/>
        <v>0</v>
      </c>
      <c r="AW74" s="361">
        <f t="shared" si="190"/>
        <v>0</v>
      </c>
      <c r="AX74" s="361">
        <f t="shared" si="191"/>
        <v>0</v>
      </c>
      <c r="AY74" s="361">
        <f t="shared" si="192"/>
        <v>0</v>
      </c>
      <c r="AZ74" s="361">
        <f t="shared" si="193"/>
        <v>0</v>
      </c>
      <c r="BA74" s="361">
        <f t="shared" si="194"/>
        <v>0</v>
      </c>
      <c r="BB74" s="361">
        <f t="shared" si="194"/>
        <v>0</v>
      </c>
      <c r="BC74" s="341">
        <f t="shared" si="195"/>
        <v>0</v>
      </c>
      <c r="BD74" s="361">
        <f t="shared" si="196"/>
        <v>0</v>
      </c>
      <c r="BE74" s="361">
        <f t="shared" si="197"/>
        <v>0</v>
      </c>
      <c r="BF74" s="361">
        <f t="shared" si="198"/>
        <v>0</v>
      </c>
      <c r="BG74" s="361">
        <f t="shared" si="199"/>
        <v>0</v>
      </c>
      <c r="BH74" s="361">
        <f t="shared" si="200"/>
        <v>0</v>
      </c>
      <c r="BI74" s="361">
        <f t="shared" si="201"/>
        <v>0</v>
      </c>
      <c r="BJ74" s="361">
        <f t="shared" si="202"/>
        <v>0</v>
      </c>
      <c r="BK74" s="361">
        <f t="shared" si="203"/>
        <v>0</v>
      </c>
      <c r="BL74" s="361">
        <f t="shared" si="204"/>
        <v>0</v>
      </c>
      <c r="BM74" s="361">
        <f t="shared" si="205"/>
        <v>0</v>
      </c>
      <c r="BN74" s="361">
        <f t="shared" si="206"/>
        <v>0</v>
      </c>
      <c r="BO74" s="361">
        <f t="shared" si="206"/>
        <v>0</v>
      </c>
      <c r="BP74" s="341">
        <f t="shared" si="207"/>
        <v>0</v>
      </c>
      <c r="BQ74" s="341">
        <f t="shared" si="208"/>
        <v>0</v>
      </c>
    </row>
    <row r="75" spans="1:70" ht="13.5" customHeight="1">
      <c r="A75" s="70"/>
      <c r="B75" s="384" t="s">
        <v>101</v>
      </c>
      <c r="C75" s="391">
        <v>0.03</v>
      </c>
      <c r="D75" s="361">
        <v>0</v>
      </c>
      <c r="E75" s="361">
        <f>D75</f>
        <v>0</v>
      </c>
      <c r="F75" s="361">
        <v>0</v>
      </c>
      <c r="G75" s="361">
        <f>F75*(1+$C75)</f>
        <v>0</v>
      </c>
      <c r="H75" s="361">
        <f t="shared" si="158"/>
        <v>0</v>
      </c>
      <c r="I75" s="361">
        <f t="shared" si="158"/>
        <v>0</v>
      </c>
      <c r="J75" s="361">
        <f t="shared" si="158"/>
        <v>0</v>
      </c>
      <c r="K75" s="361">
        <f t="shared" si="158"/>
        <v>0</v>
      </c>
      <c r="L75" s="361">
        <f t="shared" si="158"/>
        <v>0</v>
      </c>
      <c r="M75" s="361"/>
      <c r="N75" s="361"/>
      <c r="O75" s="361">
        <v>10000</v>
      </c>
      <c r="P75" s="362">
        <f t="shared" si="159"/>
        <v>10000</v>
      </c>
      <c r="Q75" s="361">
        <f t="shared" si="210"/>
        <v>10300</v>
      </c>
      <c r="R75" s="361">
        <f t="shared" si="211"/>
        <v>10609</v>
      </c>
      <c r="S75" s="361">
        <f t="shared" si="212"/>
        <v>10927.27</v>
      </c>
      <c r="T75" s="361">
        <f t="shared" si="213"/>
        <v>11255.088100000001</v>
      </c>
      <c r="U75" s="361">
        <f t="shared" si="214"/>
        <v>11592.740743</v>
      </c>
      <c r="V75" s="361">
        <f t="shared" si="215"/>
        <v>11940.52296529</v>
      </c>
      <c r="W75" s="361">
        <f t="shared" si="216"/>
        <v>12298.7386542487</v>
      </c>
      <c r="X75" s="361">
        <f t="shared" si="217"/>
        <v>12667.700813876161</v>
      </c>
      <c r="Y75" s="361">
        <f t="shared" si="218"/>
        <v>13047.731838292446</v>
      </c>
      <c r="Z75" s="361">
        <f t="shared" si="219"/>
        <v>13439.163793441219</v>
      </c>
      <c r="AA75" s="361">
        <f t="shared" si="220"/>
        <v>13842.338707244457</v>
      </c>
      <c r="AB75" s="361">
        <f t="shared" si="221"/>
        <v>14257.60886846179</v>
      </c>
      <c r="AC75" s="362">
        <f t="shared" si="171"/>
        <v>146177.90448385477</v>
      </c>
      <c r="AD75" s="361">
        <f t="shared" si="172"/>
        <v>14685.337134515645</v>
      </c>
      <c r="AE75" s="361">
        <f t="shared" si="173"/>
        <v>15125.897248551115</v>
      </c>
      <c r="AF75" s="361">
        <f t="shared" si="174"/>
        <v>15579.67416600765</v>
      </c>
      <c r="AG75" s="361">
        <f t="shared" si="175"/>
        <v>16047.06439098788</v>
      </c>
      <c r="AH75" s="361">
        <f t="shared" si="176"/>
        <v>16528.476322717517</v>
      </c>
      <c r="AI75" s="361">
        <f t="shared" si="177"/>
        <v>17024.330612399044</v>
      </c>
      <c r="AJ75" s="361">
        <f t="shared" si="178"/>
        <v>17535.060530771018</v>
      </c>
      <c r="AK75" s="361">
        <f t="shared" si="179"/>
        <v>18061.11234669415</v>
      </c>
      <c r="AL75" s="361">
        <f t="shared" si="180"/>
        <v>18602.945717094975</v>
      </c>
      <c r="AM75" s="361">
        <f t="shared" si="181"/>
        <v>19161.034088607827</v>
      </c>
      <c r="AN75" s="361">
        <f t="shared" si="182"/>
        <v>19735.865111266063</v>
      </c>
      <c r="AO75" s="361">
        <f t="shared" si="182"/>
        <v>20327.941064604045</v>
      </c>
      <c r="AP75" s="362">
        <f t="shared" si="183"/>
        <v>208414.73873421692</v>
      </c>
      <c r="AQ75" s="361">
        <f t="shared" si="184"/>
        <v>20937.779296542169</v>
      </c>
      <c r="AR75" s="361">
        <f t="shared" si="185"/>
        <v>21565.912675438434</v>
      </c>
      <c r="AS75" s="361">
        <f t="shared" si="186"/>
        <v>22212.890055701588</v>
      </c>
      <c r="AT75" s="361">
        <f t="shared" si="187"/>
        <v>22879.276757372634</v>
      </c>
      <c r="AU75" s="361">
        <f t="shared" si="188"/>
        <v>23565.655060093814</v>
      </c>
      <c r="AV75" s="361">
        <f t="shared" si="189"/>
        <v>24272.624711896628</v>
      </c>
      <c r="AW75" s="361">
        <f t="shared" si="190"/>
        <v>25000.803453253528</v>
      </c>
      <c r="AX75" s="361">
        <f t="shared" si="191"/>
        <v>25750.827556851134</v>
      </c>
      <c r="AY75" s="361">
        <f t="shared" si="192"/>
        <v>26523.35238355667</v>
      </c>
      <c r="AZ75" s="361">
        <f t="shared" si="193"/>
        <v>27319.052955063373</v>
      </c>
      <c r="BA75" s="361">
        <f t="shared" si="194"/>
        <v>28138.624543715276</v>
      </c>
      <c r="BB75" s="361">
        <f t="shared" si="194"/>
        <v>28982.783280026735</v>
      </c>
      <c r="BC75" s="341">
        <f t="shared" si="195"/>
        <v>297149.58272951201</v>
      </c>
      <c r="BD75" s="361">
        <f t="shared" si="196"/>
        <v>29852.266778427536</v>
      </c>
      <c r="BE75" s="361">
        <f t="shared" si="197"/>
        <v>30747.834781780362</v>
      </c>
      <c r="BF75" s="361">
        <f t="shared" si="198"/>
        <v>31670.269825233772</v>
      </c>
      <c r="BG75" s="361">
        <f t="shared" si="199"/>
        <v>32620.377919990788</v>
      </c>
      <c r="BH75" s="361">
        <f t="shared" si="200"/>
        <v>33598.989257590511</v>
      </c>
      <c r="BI75" s="361">
        <f t="shared" si="201"/>
        <v>34606.958935318224</v>
      </c>
      <c r="BJ75" s="361">
        <f t="shared" si="202"/>
        <v>35645.167703377774</v>
      </c>
      <c r="BK75" s="361">
        <f t="shared" si="203"/>
        <v>36714.522734479106</v>
      </c>
      <c r="BL75" s="361">
        <f t="shared" si="204"/>
        <v>37815.95841651348</v>
      </c>
      <c r="BM75" s="361">
        <f t="shared" si="205"/>
        <v>38950.437169008888</v>
      </c>
      <c r="BN75" s="361">
        <f t="shared" si="206"/>
        <v>40118.950284079154</v>
      </c>
      <c r="BO75" s="361">
        <f t="shared" si="206"/>
        <v>41322.518792601528</v>
      </c>
      <c r="BP75" s="341">
        <f t="shared" si="207"/>
        <v>423664.25259840116</v>
      </c>
      <c r="BQ75" s="341">
        <f t="shared" si="208"/>
        <v>1085406.4785459847</v>
      </c>
    </row>
    <row r="76" spans="1:70" ht="13.5" customHeight="1">
      <c r="A76" s="4"/>
      <c r="B76" s="382" t="s">
        <v>102</v>
      </c>
      <c r="C76" s="382"/>
      <c r="D76" s="363">
        <f t="shared" ref="D76:AI76" si="222">SUM(D72:D75)</f>
        <v>0</v>
      </c>
      <c r="E76" s="363">
        <f t="shared" si="222"/>
        <v>0</v>
      </c>
      <c r="F76" s="363">
        <f t="shared" si="222"/>
        <v>5000</v>
      </c>
      <c r="G76" s="363">
        <f t="shared" si="222"/>
        <v>1500</v>
      </c>
      <c r="H76" s="363">
        <f t="shared" si="222"/>
        <v>1545</v>
      </c>
      <c r="I76" s="363">
        <f t="shared" si="222"/>
        <v>1591.3500000000001</v>
      </c>
      <c r="J76" s="363">
        <f t="shared" si="222"/>
        <v>1639.0905000000002</v>
      </c>
      <c r="K76" s="363">
        <f t="shared" si="222"/>
        <v>1688.2632150000004</v>
      </c>
      <c r="L76" s="363">
        <f t="shared" si="222"/>
        <v>1738.9111114500004</v>
      </c>
      <c r="M76" s="363">
        <f t="shared" si="222"/>
        <v>1791.0784447935005</v>
      </c>
      <c r="N76" s="363">
        <f t="shared" si="222"/>
        <v>1844.8107981373055</v>
      </c>
      <c r="O76" s="363">
        <f t="shared" si="222"/>
        <v>11900.155122081425</v>
      </c>
      <c r="P76" s="364">
        <f t="shared" si="222"/>
        <v>30238.659191462237</v>
      </c>
      <c r="Q76" s="363">
        <f t="shared" si="222"/>
        <v>12257.159775743867</v>
      </c>
      <c r="R76" s="363">
        <f t="shared" si="222"/>
        <v>12624.874569016183</v>
      </c>
      <c r="S76" s="363">
        <f t="shared" si="222"/>
        <v>13003.62080608667</v>
      </c>
      <c r="T76" s="363">
        <f t="shared" si="222"/>
        <v>13393.72943026927</v>
      </c>
      <c r="U76" s="363">
        <f t="shared" si="222"/>
        <v>13795.541313177348</v>
      </c>
      <c r="V76" s="363">
        <f t="shared" si="222"/>
        <v>14209.407552572668</v>
      </c>
      <c r="W76" s="363">
        <f t="shared" si="222"/>
        <v>14635.689779149849</v>
      </c>
      <c r="X76" s="363">
        <f t="shared" si="222"/>
        <v>15074.760472524344</v>
      </c>
      <c r="Y76" s="363">
        <f t="shared" si="222"/>
        <v>15527.003286700074</v>
      </c>
      <c r="Z76" s="363">
        <f t="shared" si="222"/>
        <v>15992.813385301077</v>
      </c>
      <c r="AA76" s="363">
        <f t="shared" si="222"/>
        <v>16472.597786860111</v>
      </c>
      <c r="AB76" s="363">
        <f t="shared" si="222"/>
        <v>16966.775720465914</v>
      </c>
      <c r="AC76" s="364">
        <f t="shared" si="222"/>
        <v>173953.97387786736</v>
      </c>
      <c r="AD76" s="363">
        <f t="shared" si="222"/>
        <v>17475.77899207989</v>
      </c>
      <c r="AE76" s="363">
        <f t="shared" si="222"/>
        <v>18000.052361842289</v>
      </c>
      <c r="AF76" s="363">
        <f t="shared" si="222"/>
        <v>18540.05393269756</v>
      </c>
      <c r="AG76" s="363">
        <f t="shared" si="222"/>
        <v>19096.255550678485</v>
      </c>
      <c r="AH76" s="363">
        <f t="shared" si="222"/>
        <v>19669.143217198842</v>
      </c>
      <c r="AI76" s="363">
        <f t="shared" si="222"/>
        <v>20259.217513714808</v>
      </c>
      <c r="AJ76" s="363">
        <f t="shared" ref="AJ76:BO76" si="223">SUM(AJ72:AJ75)</f>
        <v>20866.994039126257</v>
      </c>
      <c r="AK76" s="363">
        <f t="shared" si="223"/>
        <v>21493.003860300047</v>
      </c>
      <c r="AL76" s="363">
        <f t="shared" si="223"/>
        <v>22137.793976109049</v>
      </c>
      <c r="AM76" s="363">
        <f t="shared" si="223"/>
        <v>22801.927795392323</v>
      </c>
      <c r="AN76" s="363">
        <f t="shared" si="223"/>
        <v>23485.985629254094</v>
      </c>
      <c r="AO76" s="363">
        <f t="shared" si="223"/>
        <v>24190.565198131717</v>
      </c>
      <c r="AP76" s="364">
        <f t="shared" si="223"/>
        <v>248016.77206652536</v>
      </c>
      <c r="AQ76" s="355">
        <f t="shared" si="223"/>
        <v>24916.28215407567</v>
      </c>
      <c r="AR76" s="355">
        <f t="shared" si="223"/>
        <v>25663.770618697941</v>
      </c>
      <c r="AS76" s="355">
        <f t="shared" si="223"/>
        <v>26433.683737258878</v>
      </c>
      <c r="AT76" s="355">
        <f t="shared" si="223"/>
        <v>27226.694249376644</v>
      </c>
      <c r="AU76" s="355">
        <f t="shared" si="223"/>
        <v>28043.495076857944</v>
      </c>
      <c r="AV76" s="355">
        <f t="shared" si="223"/>
        <v>28884.799929163681</v>
      </c>
      <c r="AW76" s="355">
        <f t="shared" si="223"/>
        <v>29751.343927038593</v>
      </c>
      <c r="AX76" s="355">
        <f t="shared" si="223"/>
        <v>30643.884244849753</v>
      </c>
      <c r="AY76" s="355">
        <f t="shared" si="223"/>
        <v>31563.200772195247</v>
      </c>
      <c r="AZ76" s="355">
        <f t="shared" si="223"/>
        <v>32510.096795361107</v>
      </c>
      <c r="BA76" s="355">
        <f t="shared" si="223"/>
        <v>33485.39969922194</v>
      </c>
      <c r="BB76" s="355">
        <f t="shared" si="223"/>
        <v>34489.961690198601</v>
      </c>
      <c r="BC76" s="356">
        <f t="shared" si="223"/>
        <v>353612.61289429606</v>
      </c>
      <c r="BD76" s="355">
        <f t="shared" si="223"/>
        <v>35524.660540904559</v>
      </c>
      <c r="BE76" s="355">
        <f t="shared" si="223"/>
        <v>36590.400357131693</v>
      </c>
      <c r="BF76" s="355">
        <f t="shared" si="223"/>
        <v>37688.11236784565</v>
      </c>
      <c r="BG76" s="355">
        <f t="shared" si="223"/>
        <v>38818.755738881016</v>
      </c>
      <c r="BH76" s="355">
        <f t="shared" si="223"/>
        <v>39983.318411047447</v>
      </c>
      <c r="BI76" s="355">
        <f t="shared" si="223"/>
        <v>41182.817963378868</v>
      </c>
      <c r="BJ76" s="355">
        <f t="shared" si="223"/>
        <v>42418.302502280239</v>
      </c>
      <c r="BK76" s="355">
        <f t="shared" si="223"/>
        <v>43690.851577348643</v>
      </c>
      <c r="BL76" s="355">
        <f t="shared" si="223"/>
        <v>45001.577124669107</v>
      </c>
      <c r="BM76" s="355">
        <f t="shared" si="223"/>
        <v>46351.624438409184</v>
      </c>
      <c r="BN76" s="355">
        <f t="shared" si="223"/>
        <v>47742.173171561459</v>
      </c>
      <c r="BO76" s="355">
        <f t="shared" si="223"/>
        <v>49174.438366708302</v>
      </c>
      <c r="BP76" s="356">
        <f t="shared" ref="BP76:BQ76" si="224">SUM(BP72:BP75)</f>
        <v>504167.0325601662</v>
      </c>
      <c r="BQ76" s="356">
        <f t="shared" si="224"/>
        <v>1309989.050590317</v>
      </c>
    </row>
    <row r="77" spans="1:70" ht="13.5" customHeight="1">
      <c r="A77" s="4"/>
      <c r="B77" s="328"/>
      <c r="C77" s="328"/>
      <c r="D77" s="344"/>
      <c r="E77" s="344"/>
      <c r="F77" s="344"/>
      <c r="G77" s="344"/>
      <c r="H77" s="344"/>
      <c r="I77" s="344"/>
      <c r="J77" s="344"/>
      <c r="K77" s="344"/>
      <c r="L77" s="344"/>
      <c r="M77" s="344"/>
      <c r="N77" s="344"/>
      <c r="O77" s="344"/>
      <c r="P77" s="357"/>
      <c r="Q77" s="344"/>
      <c r="R77" s="344"/>
      <c r="S77" s="344"/>
      <c r="T77" s="344"/>
      <c r="U77" s="344"/>
      <c r="V77" s="344"/>
      <c r="W77" s="344"/>
      <c r="X77" s="344"/>
      <c r="Y77" s="344"/>
      <c r="Z77" s="344"/>
      <c r="AA77" s="344"/>
      <c r="AB77" s="344"/>
      <c r="AC77" s="357"/>
      <c r="AD77" s="344"/>
      <c r="AE77" s="344"/>
      <c r="AF77" s="344"/>
      <c r="AG77" s="344"/>
      <c r="AH77" s="344"/>
      <c r="AI77" s="344"/>
      <c r="AJ77" s="344"/>
      <c r="AK77" s="344"/>
      <c r="AL77" s="344"/>
      <c r="AM77" s="344"/>
      <c r="AN77" s="344"/>
      <c r="AO77" s="344"/>
      <c r="AP77" s="357"/>
      <c r="AQ77" s="346"/>
      <c r="AR77" s="346"/>
      <c r="AS77" s="346"/>
      <c r="AT77" s="346"/>
      <c r="AU77" s="346"/>
      <c r="AV77" s="346"/>
      <c r="AW77" s="346"/>
      <c r="AX77" s="346"/>
      <c r="AY77" s="346"/>
      <c r="AZ77" s="346"/>
      <c r="BA77" s="346"/>
      <c r="BB77" s="346"/>
      <c r="BC77" s="358"/>
      <c r="BD77" s="346"/>
      <c r="BE77" s="346"/>
      <c r="BF77" s="346"/>
      <c r="BG77" s="346"/>
      <c r="BH77" s="346"/>
      <c r="BI77" s="346"/>
      <c r="BJ77" s="346"/>
      <c r="BK77" s="346"/>
      <c r="BL77" s="346"/>
      <c r="BM77" s="346"/>
      <c r="BN77" s="346"/>
      <c r="BO77" s="346"/>
      <c r="BP77" s="358"/>
      <c r="BQ77" s="358"/>
    </row>
    <row r="78" spans="1:70" ht="13.5" customHeight="1">
      <c r="A78" s="67" t="s">
        <v>103</v>
      </c>
      <c r="B78" s="380"/>
      <c r="C78" s="380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50"/>
      <c r="Q78" s="349"/>
      <c r="R78" s="349"/>
      <c r="S78" s="349"/>
      <c r="T78" s="349"/>
      <c r="U78" s="349"/>
      <c r="V78" s="349"/>
      <c r="W78" s="349"/>
      <c r="X78" s="349"/>
      <c r="Y78" s="349"/>
      <c r="Z78" s="349"/>
      <c r="AA78" s="349"/>
      <c r="AB78" s="349"/>
      <c r="AC78" s="350"/>
      <c r="AD78" s="349"/>
      <c r="AE78" s="349"/>
      <c r="AF78" s="349"/>
      <c r="AG78" s="349"/>
      <c r="AH78" s="349"/>
      <c r="AI78" s="349"/>
      <c r="AJ78" s="349"/>
      <c r="AK78" s="349"/>
      <c r="AL78" s="349"/>
      <c r="AM78" s="349"/>
      <c r="AN78" s="349"/>
      <c r="AO78" s="349"/>
      <c r="AP78" s="350"/>
      <c r="AQ78" s="351"/>
      <c r="AR78" s="351"/>
      <c r="AS78" s="351"/>
      <c r="AT78" s="351"/>
      <c r="AU78" s="351"/>
      <c r="AV78" s="351"/>
      <c r="AW78" s="351"/>
      <c r="AX78" s="351"/>
      <c r="AY78" s="351"/>
      <c r="AZ78" s="351"/>
      <c r="BA78" s="351"/>
      <c r="BB78" s="351"/>
      <c r="BC78" s="352"/>
      <c r="BD78" s="351"/>
      <c r="BE78" s="351"/>
      <c r="BF78" s="351"/>
      <c r="BG78" s="351"/>
      <c r="BH78" s="351"/>
      <c r="BI78" s="351"/>
      <c r="BJ78" s="351"/>
      <c r="BK78" s="351"/>
      <c r="BL78" s="351"/>
      <c r="BM78" s="351"/>
      <c r="BN78" s="351"/>
      <c r="BO78" s="351"/>
      <c r="BP78" s="352"/>
      <c r="BQ78" s="352"/>
    </row>
    <row r="79" spans="1:70" ht="13.5" customHeight="1">
      <c r="A79" s="68"/>
      <c r="B79" s="353" t="s">
        <v>104</v>
      </c>
      <c r="C79" s="353"/>
      <c r="D79" s="353">
        <v>0</v>
      </c>
      <c r="E79" s="353">
        <v>7900</v>
      </c>
      <c r="F79" s="353">
        <v>3150</v>
      </c>
      <c r="G79" s="353">
        <f>F79</f>
        <v>3150</v>
      </c>
      <c r="H79" s="353">
        <f t="shared" ref="H79:O79" si="225">G79</f>
        <v>3150</v>
      </c>
      <c r="I79" s="353">
        <f t="shared" si="225"/>
        <v>3150</v>
      </c>
      <c r="J79" s="353">
        <f t="shared" si="225"/>
        <v>3150</v>
      </c>
      <c r="K79" s="353">
        <f t="shared" si="225"/>
        <v>3150</v>
      </c>
      <c r="L79" s="353">
        <f t="shared" si="225"/>
        <v>3150</v>
      </c>
      <c r="M79" s="353">
        <f t="shared" si="225"/>
        <v>3150</v>
      </c>
      <c r="N79" s="353">
        <f t="shared" si="225"/>
        <v>3150</v>
      </c>
      <c r="O79" s="353">
        <f t="shared" si="225"/>
        <v>3150</v>
      </c>
      <c r="P79" s="341">
        <f t="shared" ref="P79:P85" si="226">SUM(D79:O79)</f>
        <v>39400</v>
      </c>
      <c r="Q79" s="353">
        <v>5000</v>
      </c>
      <c r="R79" s="353">
        <f t="shared" ref="R79:S80" si="227">Q79</f>
        <v>5000</v>
      </c>
      <c r="S79" s="353">
        <f t="shared" si="227"/>
        <v>5000</v>
      </c>
      <c r="T79" s="353">
        <f t="shared" ref="T79" si="228">S79</f>
        <v>5000</v>
      </c>
      <c r="U79" s="353">
        <f t="shared" ref="U79" si="229">T79</f>
        <v>5000</v>
      </c>
      <c r="V79" s="353">
        <f t="shared" ref="V79" si="230">U79</f>
        <v>5000</v>
      </c>
      <c r="W79" s="353">
        <f t="shared" ref="W79" si="231">V79</f>
        <v>5000</v>
      </c>
      <c r="X79" s="353">
        <f t="shared" ref="X79" si="232">W79</f>
        <v>5000</v>
      </c>
      <c r="Y79" s="353">
        <f t="shared" ref="Y79" si="233">X79</f>
        <v>5000</v>
      </c>
      <c r="Z79" s="353">
        <f t="shared" ref="Z79" si="234">Y79</f>
        <v>5000</v>
      </c>
      <c r="AA79" s="353">
        <f t="shared" ref="AA79" si="235">Z79</f>
        <v>5000</v>
      </c>
      <c r="AB79" s="353">
        <f t="shared" ref="AB79" si="236">AA79</f>
        <v>5000</v>
      </c>
      <c r="AC79" s="341">
        <f t="shared" ref="AC79:AC85" si="237">SUM(Q79:AB79)</f>
        <v>60000</v>
      </c>
      <c r="AD79" s="353">
        <v>10000</v>
      </c>
      <c r="AE79" s="353">
        <f t="shared" ref="AE79:AF81" si="238">AD79</f>
        <v>10000</v>
      </c>
      <c r="AF79" s="353">
        <f t="shared" si="238"/>
        <v>10000</v>
      </c>
      <c r="AG79" s="353">
        <f t="shared" ref="AG79" si="239">AF79</f>
        <v>10000</v>
      </c>
      <c r="AH79" s="353">
        <f t="shared" ref="AH79" si="240">AG79</f>
        <v>10000</v>
      </c>
      <c r="AI79" s="353">
        <f t="shared" ref="AI79" si="241">AH79</f>
        <v>10000</v>
      </c>
      <c r="AJ79" s="353">
        <f t="shared" ref="AJ79" si="242">AI79</f>
        <v>10000</v>
      </c>
      <c r="AK79" s="353">
        <f t="shared" ref="AK79" si="243">AJ79</f>
        <v>10000</v>
      </c>
      <c r="AL79" s="353">
        <f t="shared" ref="AL79" si="244">AK79</f>
        <v>10000</v>
      </c>
      <c r="AM79" s="353">
        <f t="shared" ref="AM79" si="245">AL79</f>
        <v>10000</v>
      </c>
      <c r="AN79" s="353">
        <f t="shared" ref="AN79" si="246">AM79</f>
        <v>10000</v>
      </c>
      <c r="AO79" s="353">
        <f t="shared" ref="AO79" si="247">AN79</f>
        <v>10000</v>
      </c>
      <c r="AP79" s="341">
        <f t="shared" ref="AP79:AP86" si="248">SUM(AD79:AO79)</f>
        <v>120000</v>
      </c>
      <c r="AQ79" s="353">
        <v>15000</v>
      </c>
      <c r="AR79" s="353">
        <f t="shared" ref="AR79:AS81" si="249">AQ79</f>
        <v>15000</v>
      </c>
      <c r="AS79" s="353">
        <f t="shared" si="249"/>
        <v>15000</v>
      </c>
      <c r="AT79" s="353">
        <f t="shared" ref="AT79" si="250">AS79</f>
        <v>15000</v>
      </c>
      <c r="AU79" s="353">
        <f t="shared" ref="AU79" si="251">AT79</f>
        <v>15000</v>
      </c>
      <c r="AV79" s="353">
        <f t="shared" ref="AV79" si="252">AU79</f>
        <v>15000</v>
      </c>
      <c r="AW79" s="353">
        <f t="shared" ref="AW79" si="253">AV79</f>
        <v>15000</v>
      </c>
      <c r="AX79" s="353">
        <f t="shared" ref="AX79" si="254">AW79</f>
        <v>15000</v>
      </c>
      <c r="AY79" s="353">
        <f t="shared" ref="AY79" si="255">AX79</f>
        <v>15000</v>
      </c>
      <c r="AZ79" s="353">
        <f t="shared" ref="AZ79" si="256">AY79</f>
        <v>15000</v>
      </c>
      <c r="BA79" s="353">
        <f t="shared" ref="BA79" si="257">AZ79</f>
        <v>15000</v>
      </c>
      <c r="BB79" s="353">
        <f t="shared" ref="BB79" si="258">BA79</f>
        <v>15000</v>
      </c>
      <c r="BC79" s="341">
        <f t="shared" ref="BC79:BC86" si="259">SUM(AQ79:BB79)</f>
        <v>180000</v>
      </c>
      <c r="BD79" s="353">
        <v>20000</v>
      </c>
      <c r="BE79" s="354">
        <f t="shared" ref="BE79:BF81" si="260">BD79</f>
        <v>20000</v>
      </c>
      <c r="BF79" s="354">
        <f t="shared" ref="BF79" si="261">BE79</f>
        <v>20000</v>
      </c>
      <c r="BG79" s="354">
        <f t="shared" ref="BG79" si="262">BF79</f>
        <v>20000</v>
      </c>
      <c r="BH79" s="354">
        <f t="shared" ref="BH79" si="263">BG79</f>
        <v>20000</v>
      </c>
      <c r="BI79" s="354">
        <f t="shared" ref="BI79" si="264">BH79</f>
        <v>20000</v>
      </c>
      <c r="BJ79" s="354">
        <f t="shared" ref="BJ79" si="265">BI79</f>
        <v>20000</v>
      </c>
      <c r="BK79" s="354">
        <f t="shared" ref="BK79" si="266">BJ79</f>
        <v>20000</v>
      </c>
      <c r="BL79" s="354">
        <f t="shared" ref="BL79" si="267">BK79</f>
        <v>20000</v>
      </c>
      <c r="BM79" s="354">
        <f t="shared" ref="BM79" si="268">BL79</f>
        <v>20000</v>
      </c>
      <c r="BN79" s="354">
        <f t="shared" ref="BN79" si="269">BM79</f>
        <v>20000</v>
      </c>
      <c r="BO79" s="354">
        <f t="shared" ref="BO79" si="270">BN79</f>
        <v>20000</v>
      </c>
      <c r="BP79" s="341">
        <f t="shared" ref="BP79:BP85" si="271">SUM(BD79:BO79)</f>
        <v>240000</v>
      </c>
      <c r="BQ79" s="341">
        <f t="shared" ref="BQ79:BQ85" si="272">P79+AC79+AP79+BC79+BP79</f>
        <v>639400</v>
      </c>
    </row>
    <row r="80" spans="1:70" ht="13.5" customHeight="1">
      <c r="A80" s="68"/>
      <c r="B80" s="353" t="s">
        <v>105</v>
      </c>
      <c r="C80" s="353"/>
      <c r="D80" s="353">
        <v>0</v>
      </c>
      <c r="E80" s="353">
        <f t="shared" ref="E80:M80" si="273">D80</f>
        <v>0</v>
      </c>
      <c r="F80" s="353">
        <f t="shared" si="273"/>
        <v>0</v>
      </c>
      <c r="G80" s="353">
        <f t="shared" si="273"/>
        <v>0</v>
      </c>
      <c r="H80" s="353">
        <f t="shared" si="273"/>
        <v>0</v>
      </c>
      <c r="I80" s="353">
        <f t="shared" si="273"/>
        <v>0</v>
      </c>
      <c r="J80" s="353">
        <f t="shared" si="273"/>
        <v>0</v>
      </c>
      <c r="K80" s="353">
        <f t="shared" si="273"/>
        <v>0</v>
      </c>
      <c r="L80" s="353">
        <f t="shared" si="273"/>
        <v>0</v>
      </c>
      <c r="M80" s="353">
        <f t="shared" si="273"/>
        <v>0</v>
      </c>
      <c r="N80" s="353"/>
      <c r="O80" s="353"/>
      <c r="P80" s="341">
        <f t="shared" si="226"/>
        <v>0</v>
      </c>
      <c r="Q80" s="353">
        <v>10000</v>
      </c>
      <c r="R80" s="353">
        <f t="shared" si="227"/>
        <v>10000</v>
      </c>
      <c r="S80" s="353">
        <f t="shared" si="227"/>
        <v>10000</v>
      </c>
      <c r="T80" s="353">
        <f t="shared" ref="T80" si="274">S80</f>
        <v>10000</v>
      </c>
      <c r="U80" s="353">
        <f t="shared" ref="U80" si="275">T80</f>
        <v>10000</v>
      </c>
      <c r="V80" s="353">
        <f t="shared" ref="V80:AB80" si="276">U80</f>
        <v>10000</v>
      </c>
      <c r="W80" s="353">
        <f t="shared" si="276"/>
        <v>10000</v>
      </c>
      <c r="X80" s="353">
        <f t="shared" si="276"/>
        <v>10000</v>
      </c>
      <c r="Y80" s="353">
        <f t="shared" si="276"/>
        <v>10000</v>
      </c>
      <c r="Z80" s="353">
        <f t="shared" si="276"/>
        <v>10000</v>
      </c>
      <c r="AA80" s="353">
        <f t="shared" si="276"/>
        <v>10000</v>
      </c>
      <c r="AB80" s="353">
        <f t="shared" si="276"/>
        <v>10000</v>
      </c>
      <c r="AC80" s="341">
        <f t="shared" si="237"/>
        <v>120000</v>
      </c>
      <c r="AD80" s="353">
        <v>15000</v>
      </c>
      <c r="AE80" s="353">
        <f t="shared" si="238"/>
        <v>15000</v>
      </c>
      <c r="AF80" s="353">
        <f t="shared" si="238"/>
        <v>15000</v>
      </c>
      <c r="AG80" s="353">
        <f t="shared" ref="AG80:AG81" si="277">AF80</f>
        <v>15000</v>
      </c>
      <c r="AH80" s="353">
        <f t="shared" ref="AH80:AO81" si="278">AG80</f>
        <v>15000</v>
      </c>
      <c r="AI80" s="353">
        <f t="shared" si="278"/>
        <v>15000</v>
      </c>
      <c r="AJ80" s="353">
        <f t="shared" si="278"/>
        <v>15000</v>
      </c>
      <c r="AK80" s="353">
        <f t="shared" si="278"/>
        <v>15000</v>
      </c>
      <c r="AL80" s="353">
        <f t="shared" si="278"/>
        <v>15000</v>
      </c>
      <c r="AM80" s="353">
        <f t="shared" si="278"/>
        <v>15000</v>
      </c>
      <c r="AN80" s="353">
        <f t="shared" si="278"/>
        <v>15000</v>
      </c>
      <c r="AO80" s="353">
        <f t="shared" si="278"/>
        <v>15000</v>
      </c>
      <c r="AP80" s="341">
        <f t="shared" si="248"/>
        <v>180000</v>
      </c>
      <c r="AQ80" s="353">
        <v>20000</v>
      </c>
      <c r="AR80" s="353">
        <f t="shared" si="249"/>
        <v>20000</v>
      </c>
      <c r="AS80" s="353">
        <f t="shared" si="249"/>
        <v>20000</v>
      </c>
      <c r="AT80" s="353">
        <f t="shared" ref="AT80:AT81" si="279">AS80</f>
        <v>20000</v>
      </c>
      <c r="AU80" s="353">
        <f t="shared" ref="AU80:BB81" si="280">AT80</f>
        <v>20000</v>
      </c>
      <c r="AV80" s="353">
        <f t="shared" si="280"/>
        <v>20000</v>
      </c>
      <c r="AW80" s="353">
        <f t="shared" si="280"/>
        <v>20000</v>
      </c>
      <c r="AX80" s="353">
        <f t="shared" si="280"/>
        <v>20000</v>
      </c>
      <c r="AY80" s="353">
        <f t="shared" si="280"/>
        <v>20000</v>
      </c>
      <c r="AZ80" s="353">
        <f t="shared" si="280"/>
        <v>20000</v>
      </c>
      <c r="BA80" s="353">
        <f t="shared" si="280"/>
        <v>20000</v>
      </c>
      <c r="BB80" s="353">
        <f t="shared" si="280"/>
        <v>20000</v>
      </c>
      <c r="BC80" s="341">
        <f t="shared" si="259"/>
        <v>240000</v>
      </c>
      <c r="BD80" s="353">
        <v>35000</v>
      </c>
      <c r="BE80" s="353">
        <f t="shared" si="260"/>
        <v>35000</v>
      </c>
      <c r="BF80" s="353">
        <f t="shared" si="260"/>
        <v>35000</v>
      </c>
      <c r="BG80" s="353">
        <f t="shared" ref="BG80:BG81" si="281">BF80</f>
        <v>35000</v>
      </c>
      <c r="BH80" s="353">
        <f t="shared" ref="BH80:BO81" si="282">BG80</f>
        <v>35000</v>
      </c>
      <c r="BI80" s="353">
        <f t="shared" si="282"/>
        <v>35000</v>
      </c>
      <c r="BJ80" s="353">
        <f t="shared" si="282"/>
        <v>35000</v>
      </c>
      <c r="BK80" s="353">
        <f t="shared" si="282"/>
        <v>35000</v>
      </c>
      <c r="BL80" s="353">
        <f t="shared" si="282"/>
        <v>35000</v>
      </c>
      <c r="BM80" s="353">
        <f t="shared" si="282"/>
        <v>35000</v>
      </c>
      <c r="BN80" s="353">
        <f t="shared" si="282"/>
        <v>35000</v>
      </c>
      <c r="BO80" s="353">
        <f t="shared" si="282"/>
        <v>35000</v>
      </c>
      <c r="BP80" s="341">
        <f t="shared" si="271"/>
        <v>420000</v>
      </c>
      <c r="BQ80" s="341">
        <f t="shared" si="272"/>
        <v>960000</v>
      </c>
    </row>
    <row r="81" spans="1:69" ht="13.5" customHeight="1">
      <c r="A81" s="68"/>
      <c r="B81" s="353" t="s">
        <v>106</v>
      </c>
      <c r="C81" s="353"/>
      <c r="D81" s="353">
        <v>0</v>
      </c>
      <c r="E81" s="353">
        <v>0</v>
      </c>
      <c r="F81" s="353">
        <f t="shared" ref="F81:O81" si="283">E81</f>
        <v>0</v>
      </c>
      <c r="G81" s="353">
        <f t="shared" si="283"/>
        <v>0</v>
      </c>
      <c r="H81" s="353">
        <f t="shared" si="283"/>
        <v>0</v>
      </c>
      <c r="I81" s="353">
        <f t="shared" si="283"/>
        <v>0</v>
      </c>
      <c r="J81" s="353">
        <f t="shared" si="283"/>
        <v>0</v>
      </c>
      <c r="K81" s="353">
        <f t="shared" si="283"/>
        <v>0</v>
      </c>
      <c r="L81" s="353">
        <f t="shared" si="283"/>
        <v>0</v>
      </c>
      <c r="M81" s="353">
        <f t="shared" si="283"/>
        <v>0</v>
      </c>
      <c r="N81" s="353">
        <f t="shared" si="283"/>
        <v>0</v>
      </c>
      <c r="O81" s="353">
        <f t="shared" si="283"/>
        <v>0</v>
      </c>
      <c r="P81" s="341">
        <f t="shared" si="226"/>
        <v>0</v>
      </c>
      <c r="Q81" s="353">
        <f>O81*1.5</f>
        <v>0</v>
      </c>
      <c r="R81" s="353">
        <f>Q81</f>
        <v>0</v>
      </c>
      <c r="S81" s="353">
        <f t="shared" ref="S81:AB81" si="284">R81</f>
        <v>0</v>
      </c>
      <c r="T81" s="353">
        <f t="shared" si="284"/>
        <v>0</v>
      </c>
      <c r="U81" s="353">
        <f t="shared" si="284"/>
        <v>0</v>
      </c>
      <c r="V81" s="353">
        <f t="shared" si="284"/>
        <v>0</v>
      </c>
      <c r="W81" s="353">
        <f t="shared" si="284"/>
        <v>0</v>
      </c>
      <c r="X81" s="353">
        <f t="shared" si="284"/>
        <v>0</v>
      </c>
      <c r="Y81" s="353">
        <f t="shared" si="284"/>
        <v>0</v>
      </c>
      <c r="Z81" s="353">
        <f t="shared" si="284"/>
        <v>0</v>
      </c>
      <c r="AA81" s="353">
        <f t="shared" si="284"/>
        <v>0</v>
      </c>
      <c r="AB81" s="353">
        <f t="shared" si="284"/>
        <v>0</v>
      </c>
      <c r="AC81" s="341">
        <f t="shared" si="237"/>
        <v>0</v>
      </c>
      <c r="AD81" s="353">
        <f>AB81*1.5</f>
        <v>0</v>
      </c>
      <c r="AE81" s="353">
        <f>AD81</f>
        <v>0</v>
      </c>
      <c r="AF81" s="353">
        <f t="shared" si="238"/>
        <v>0</v>
      </c>
      <c r="AG81" s="353">
        <f t="shared" si="277"/>
        <v>0</v>
      </c>
      <c r="AH81" s="353">
        <f t="shared" si="278"/>
        <v>0</v>
      </c>
      <c r="AI81" s="353">
        <f t="shared" si="278"/>
        <v>0</v>
      </c>
      <c r="AJ81" s="353">
        <f t="shared" si="278"/>
        <v>0</v>
      </c>
      <c r="AK81" s="353">
        <f t="shared" si="278"/>
        <v>0</v>
      </c>
      <c r="AL81" s="353">
        <f t="shared" si="278"/>
        <v>0</v>
      </c>
      <c r="AM81" s="353">
        <f t="shared" si="278"/>
        <v>0</v>
      </c>
      <c r="AN81" s="353">
        <f t="shared" si="278"/>
        <v>0</v>
      </c>
      <c r="AO81" s="353">
        <f t="shared" si="278"/>
        <v>0</v>
      </c>
      <c r="AP81" s="341">
        <f t="shared" si="248"/>
        <v>0</v>
      </c>
      <c r="AQ81" s="353">
        <f>AO81*1.5</f>
        <v>0</v>
      </c>
      <c r="AR81" s="353">
        <f>AQ81</f>
        <v>0</v>
      </c>
      <c r="AS81" s="353">
        <f t="shared" si="249"/>
        <v>0</v>
      </c>
      <c r="AT81" s="353">
        <f t="shared" si="279"/>
        <v>0</v>
      </c>
      <c r="AU81" s="353">
        <f t="shared" si="280"/>
        <v>0</v>
      </c>
      <c r="AV81" s="353">
        <f t="shared" si="280"/>
        <v>0</v>
      </c>
      <c r="AW81" s="353">
        <f t="shared" si="280"/>
        <v>0</v>
      </c>
      <c r="AX81" s="353">
        <f t="shared" si="280"/>
        <v>0</v>
      </c>
      <c r="AY81" s="353">
        <f t="shared" si="280"/>
        <v>0</v>
      </c>
      <c r="AZ81" s="353">
        <f t="shared" si="280"/>
        <v>0</v>
      </c>
      <c r="BA81" s="353">
        <f t="shared" si="280"/>
        <v>0</v>
      </c>
      <c r="BB81" s="353">
        <f t="shared" si="280"/>
        <v>0</v>
      </c>
      <c r="BC81" s="341">
        <f t="shared" si="259"/>
        <v>0</v>
      </c>
      <c r="BD81" s="353">
        <f>BB81*1.5</f>
        <v>0</v>
      </c>
      <c r="BE81" s="353">
        <f>BD81</f>
        <v>0</v>
      </c>
      <c r="BF81" s="353">
        <f t="shared" si="260"/>
        <v>0</v>
      </c>
      <c r="BG81" s="353">
        <f t="shared" si="281"/>
        <v>0</v>
      </c>
      <c r="BH81" s="353">
        <f t="shared" si="282"/>
        <v>0</v>
      </c>
      <c r="BI81" s="353">
        <f t="shared" si="282"/>
        <v>0</v>
      </c>
      <c r="BJ81" s="353">
        <f t="shared" si="282"/>
        <v>0</v>
      </c>
      <c r="BK81" s="353">
        <f t="shared" si="282"/>
        <v>0</v>
      </c>
      <c r="BL81" s="353">
        <f t="shared" si="282"/>
        <v>0</v>
      </c>
      <c r="BM81" s="353">
        <f t="shared" si="282"/>
        <v>0</v>
      </c>
      <c r="BN81" s="353">
        <f t="shared" si="282"/>
        <v>0</v>
      </c>
      <c r="BO81" s="353">
        <f t="shared" si="282"/>
        <v>0</v>
      </c>
      <c r="BP81" s="341">
        <f t="shared" si="271"/>
        <v>0</v>
      </c>
      <c r="BQ81" s="341">
        <f t="shared" si="272"/>
        <v>0</v>
      </c>
    </row>
    <row r="82" spans="1:69" ht="13.5" customHeight="1">
      <c r="A82" s="12"/>
      <c r="B82" s="353" t="s">
        <v>107</v>
      </c>
      <c r="C82" s="391">
        <v>0.03</v>
      </c>
      <c r="D82" s="361">
        <v>0</v>
      </c>
      <c r="E82" s="361">
        <v>65</v>
      </c>
      <c r="F82" s="361">
        <v>1500</v>
      </c>
      <c r="G82" s="361">
        <v>15</v>
      </c>
      <c r="H82" s="361">
        <v>15</v>
      </c>
      <c r="I82" s="361">
        <v>1800</v>
      </c>
      <c r="J82" s="361">
        <f t="shared" ref="J82:O83" si="285">I82*(1+$C82)</f>
        <v>1854</v>
      </c>
      <c r="K82" s="361">
        <f t="shared" si="285"/>
        <v>1909.6200000000001</v>
      </c>
      <c r="L82" s="361">
        <f t="shared" si="285"/>
        <v>1966.9086000000002</v>
      </c>
      <c r="M82" s="361">
        <f t="shared" si="285"/>
        <v>2025.9158580000003</v>
      </c>
      <c r="N82" s="361">
        <f t="shared" si="285"/>
        <v>2086.6933337400005</v>
      </c>
      <c r="O82" s="361">
        <f t="shared" si="285"/>
        <v>2149.2941337522007</v>
      </c>
      <c r="P82" s="341">
        <f t="shared" si="226"/>
        <v>15387.431925492201</v>
      </c>
      <c r="Q82" s="361">
        <f t="shared" ref="Q82:Q83" si="286">O82*(1+$C82)</f>
        <v>2213.7729577647669</v>
      </c>
      <c r="R82" s="361">
        <f t="shared" ref="R82:R83" si="287">Q82*(1+$C82)</f>
        <v>2280.1861464977101</v>
      </c>
      <c r="S82" s="361">
        <f t="shared" ref="S82:S83" si="288">R82*(1+$C82)</f>
        <v>2348.5917308926414</v>
      </c>
      <c r="T82" s="361">
        <f t="shared" ref="T82:T83" si="289">S82*(1+$C82)</f>
        <v>2419.0494828194205</v>
      </c>
      <c r="U82" s="361">
        <f t="shared" ref="U82:U83" si="290">T82*(1+$C82)</f>
        <v>2491.620967304003</v>
      </c>
      <c r="V82" s="361">
        <f t="shared" ref="V82:V83" si="291">U82*(1+$C82)</f>
        <v>2566.369596323123</v>
      </c>
      <c r="W82" s="361">
        <f t="shared" ref="W82:W83" si="292">V82*(1+$C82)</f>
        <v>2643.360684212817</v>
      </c>
      <c r="X82" s="361">
        <f t="shared" ref="X82:X83" si="293">W82*(1+$C82)</f>
        <v>2722.6615047392015</v>
      </c>
      <c r="Y82" s="361">
        <f t="shared" ref="Y82:Y83" si="294">X82*(1+$C82)</f>
        <v>2804.3413498813775</v>
      </c>
      <c r="Z82" s="361">
        <f t="shared" ref="Z82:Z83" si="295">Y82*(1+$C82)</f>
        <v>2888.4715903778188</v>
      </c>
      <c r="AA82" s="361">
        <f t="shared" ref="AA82:AA83" si="296">Z82*(1+$C82)</f>
        <v>2975.1257380891534</v>
      </c>
      <c r="AB82" s="361">
        <f t="shared" ref="AB82:AB83" si="297">AA82*(1+$C82)</f>
        <v>3064.3795102318281</v>
      </c>
      <c r="AC82" s="362">
        <f t="shared" ref="AC82:AC83" si="298">SUM(Q82:AB82)</f>
        <v>31417.931259133864</v>
      </c>
      <c r="AD82" s="361">
        <f t="shared" ref="AD82:AD83" si="299">AB82*(1+$C82)</f>
        <v>3156.3108955387829</v>
      </c>
      <c r="AE82" s="361">
        <f t="shared" ref="AE82:AE83" si="300">AD82*(1+$C82)</f>
        <v>3251.0002224049463</v>
      </c>
      <c r="AF82" s="361">
        <f t="shared" ref="AF82:AF83" si="301">AE82*(1+$C82)</f>
        <v>3348.5302290770946</v>
      </c>
      <c r="AG82" s="361">
        <f t="shared" ref="AG82:AG83" si="302">AF82*(1+$C82)</f>
        <v>3448.9861359494075</v>
      </c>
      <c r="AH82" s="361">
        <f t="shared" ref="AH82:AH83" si="303">AG82*(1+$C82)</f>
        <v>3552.45572002789</v>
      </c>
      <c r="AI82" s="361">
        <f t="shared" ref="AI82:AI83" si="304">AH82*(1+$C82)</f>
        <v>3659.0293916287269</v>
      </c>
      <c r="AJ82" s="361">
        <f t="shared" ref="AJ82:AJ83" si="305">AI82*(1+$C82)</f>
        <v>3768.8002733775888</v>
      </c>
      <c r="AK82" s="361">
        <f t="shared" ref="AK82:AK83" si="306">AJ82*(1+$C82)</f>
        <v>3881.8642815789167</v>
      </c>
      <c r="AL82" s="361">
        <f t="shared" ref="AL82:AL83" si="307">AK82*(1+$C82)</f>
        <v>3998.3202100262843</v>
      </c>
      <c r="AM82" s="361">
        <f t="shared" ref="AM82:AM83" si="308">AL82*(1+$C82)</f>
        <v>4118.2698163270725</v>
      </c>
      <c r="AN82" s="361">
        <f t="shared" ref="AN82:AN83" si="309">AM82*(1+$C82)</f>
        <v>4241.8179108168852</v>
      </c>
      <c r="AO82" s="361">
        <f t="shared" ref="AO82:AO83" si="310">AN82*(1+$C82)</f>
        <v>4369.0724481413918</v>
      </c>
      <c r="AP82" s="362">
        <f t="shared" si="248"/>
        <v>44794.457534894987</v>
      </c>
      <c r="AQ82" s="361">
        <f t="shared" ref="AQ82:AQ83" si="311">AO82*(1+$C82)</f>
        <v>4500.144621585634</v>
      </c>
      <c r="AR82" s="361">
        <f t="shared" ref="AR82:AR83" si="312">AQ82*(1+$C82)</f>
        <v>4635.1489602332031</v>
      </c>
      <c r="AS82" s="361">
        <f t="shared" ref="AS82:AS83" si="313">AR82*(1+$C82)</f>
        <v>4774.2034290401989</v>
      </c>
      <c r="AT82" s="361">
        <f t="shared" ref="AT82:AT83" si="314">AS82*(1+$C82)</f>
        <v>4917.4295319114053</v>
      </c>
      <c r="AU82" s="361">
        <f t="shared" ref="AU82:AU83" si="315">AT82*(1+$C82)</f>
        <v>5064.9524178687479</v>
      </c>
      <c r="AV82" s="361">
        <f t="shared" ref="AV82:AV83" si="316">AU82*(1+$C82)</f>
        <v>5216.9009904048107</v>
      </c>
      <c r="AW82" s="361">
        <f t="shared" ref="AW82:AW83" si="317">AV82*(1+$C82)</f>
        <v>5373.4080201169554</v>
      </c>
      <c r="AX82" s="361">
        <f t="shared" ref="AX82:AX83" si="318">AW82*(1+$C82)</f>
        <v>5534.6102607204639</v>
      </c>
      <c r="AY82" s="361">
        <f t="shared" ref="AY82:AY83" si="319">AX82*(1+$C82)</f>
        <v>5700.6485685420776</v>
      </c>
      <c r="AZ82" s="361">
        <f t="shared" ref="AZ82:AZ83" si="320">AY82*(1+$C82)</f>
        <v>5871.6680255983401</v>
      </c>
      <c r="BA82" s="361">
        <f t="shared" ref="BA82:BA83" si="321">AZ82*(1+$C82)</f>
        <v>6047.8180663662906</v>
      </c>
      <c r="BB82" s="361">
        <f t="shared" ref="BB82:BB83" si="322">BA82*(1+$C82)</f>
        <v>6229.2526083572793</v>
      </c>
      <c r="BC82" s="341">
        <f t="shared" si="259"/>
        <v>63866.185500745407</v>
      </c>
      <c r="BD82" s="361">
        <f t="shared" ref="BD82:BD83" si="323">BB82*(1+$C82)</f>
        <v>6416.1301866079975</v>
      </c>
      <c r="BE82" s="361">
        <f t="shared" ref="BE82:BE83" si="324">BD82*(1+$C82)</f>
        <v>6608.6140922062377</v>
      </c>
      <c r="BF82" s="361">
        <f t="shared" ref="BF82:BF83" si="325">BE82*(1+$C82)</f>
        <v>6806.8725149724251</v>
      </c>
      <c r="BG82" s="361">
        <f t="shared" ref="BG82:BG83" si="326">BF82*(1+$C82)</f>
        <v>7011.0786904215984</v>
      </c>
      <c r="BH82" s="361">
        <f t="shared" ref="BH82:BH83" si="327">BG82*(1+$C82)</f>
        <v>7221.4110511342469</v>
      </c>
      <c r="BI82" s="361">
        <f t="shared" ref="BI82:BI83" si="328">BH82*(1+$C82)</f>
        <v>7438.0533826682749</v>
      </c>
      <c r="BJ82" s="361">
        <f t="shared" ref="BJ82:BJ83" si="329">BI82*(1+$C82)</f>
        <v>7661.1949841483238</v>
      </c>
      <c r="BK82" s="361">
        <f t="shared" ref="BK82:BK83" si="330">BJ82*(1+$C82)</f>
        <v>7891.030833672774</v>
      </c>
      <c r="BL82" s="361">
        <f t="shared" ref="BL82:BL83" si="331">BK82*(1+$C82)</f>
        <v>8127.7617586829574</v>
      </c>
      <c r="BM82" s="361">
        <f t="shared" ref="BM82:BM83" si="332">BL82*(1+$C82)</f>
        <v>8371.5946114434464</v>
      </c>
      <c r="BN82" s="361">
        <f t="shared" ref="BN82:BN83" si="333">BM82*(1+$C82)</f>
        <v>8622.7424497867505</v>
      </c>
      <c r="BO82" s="361">
        <f t="shared" ref="BO82:BO83" si="334">BN82*(1+$C82)</f>
        <v>8881.4247232803536</v>
      </c>
      <c r="BP82" s="341">
        <f t="shared" si="271"/>
        <v>91057.909279025393</v>
      </c>
      <c r="BQ82" s="341">
        <f t="shared" si="272"/>
        <v>246523.91549929185</v>
      </c>
    </row>
    <row r="83" spans="1:69" ht="13.5" customHeight="1">
      <c r="A83" s="12"/>
      <c r="B83" s="353" t="s">
        <v>108</v>
      </c>
      <c r="C83" s="391">
        <v>0.03</v>
      </c>
      <c r="D83" s="361">
        <v>0</v>
      </c>
      <c r="E83" s="361">
        <v>1810</v>
      </c>
      <c r="F83" s="361">
        <v>7861</v>
      </c>
      <c r="G83" s="361">
        <v>3552</v>
      </c>
      <c r="H83" s="361">
        <v>2935</v>
      </c>
      <c r="I83" s="361">
        <v>7470</v>
      </c>
      <c r="J83" s="361">
        <v>5000</v>
      </c>
      <c r="K83" s="361">
        <f t="shared" si="285"/>
        <v>5150</v>
      </c>
      <c r="L83" s="361">
        <f t="shared" si="285"/>
        <v>5304.5</v>
      </c>
      <c r="M83" s="361">
        <f t="shared" si="285"/>
        <v>5463.6350000000002</v>
      </c>
      <c r="N83" s="361">
        <f t="shared" si="285"/>
        <v>5627.5440500000004</v>
      </c>
      <c r="O83" s="361">
        <f t="shared" si="285"/>
        <v>5796.3703715000001</v>
      </c>
      <c r="P83" s="341">
        <f t="shared" si="226"/>
        <v>55970.049421500007</v>
      </c>
      <c r="Q83" s="361">
        <f t="shared" si="286"/>
        <v>5970.2614826449999</v>
      </c>
      <c r="R83" s="361">
        <f t="shared" si="287"/>
        <v>6149.3693271243501</v>
      </c>
      <c r="S83" s="361">
        <f t="shared" si="288"/>
        <v>6333.8504069380806</v>
      </c>
      <c r="T83" s="361">
        <f t="shared" si="289"/>
        <v>6523.865919146223</v>
      </c>
      <c r="U83" s="361">
        <f t="shared" si="290"/>
        <v>6719.5818967206096</v>
      </c>
      <c r="V83" s="361">
        <f t="shared" si="291"/>
        <v>6921.1693536222283</v>
      </c>
      <c r="W83" s="361">
        <f t="shared" si="292"/>
        <v>7128.8044342308949</v>
      </c>
      <c r="X83" s="361">
        <f t="shared" si="293"/>
        <v>7342.6685672578224</v>
      </c>
      <c r="Y83" s="361">
        <f t="shared" si="294"/>
        <v>7562.9486242755574</v>
      </c>
      <c r="Z83" s="361">
        <f t="shared" si="295"/>
        <v>7789.8370830038248</v>
      </c>
      <c r="AA83" s="361">
        <f t="shared" si="296"/>
        <v>8023.53219549394</v>
      </c>
      <c r="AB83" s="361">
        <f t="shared" si="297"/>
        <v>8264.2381613587586</v>
      </c>
      <c r="AC83" s="362">
        <f t="shared" si="298"/>
        <v>84730.127451817301</v>
      </c>
      <c r="AD83" s="361">
        <f t="shared" si="299"/>
        <v>8512.1653061995221</v>
      </c>
      <c r="AE83" s="361">
        <f t="shared" si="300"/>
        <v>8767.5302653855088</v>
      </c>
      <c r="AF83" s="361">
        <f t="shared" si="301"/>
        <v>9030.5561733470749</v>
      </c>
      <c r="AG83" s="361">
        <f t="shared" si="302"/>
        <v>9301.4728585474877</v>
      </c>
      <c r="AH83" s="361">
        <f t="shared" si="303"/>
        <v>9580.5170443039133</v>
      </c>
      <c r="AI83" s="361">
        <f t="shared" si="304"/>
        <v>9867.9325556330314</v>
      </c>
      <c r="AJ83" s="361">
        <f t="shared" si="305"/>
        <v>10163.970532302023</v>
      </c>
      <c r="AK83" s="361">
        <f t="shared" si="306"/>
        <v>10468.889648271084</v>
      </c>
      <c r="AL83" s="361">
        <f t="shared" si="307"/>
        <v>10782.956337719217</v>
      </c>
      <c r="AM83" s="361">
        <f t="shared" si="308"/>
        <v>11106.445027850794</v>
      </c>
      <c r="AN83" s="361">
        <f t="shared" si="309"/>
        <v>11439.638378686317</v>
      </c>
      <c r="AO83" s="361">
        <f t="shared" si="310"/>
        <v>11782.827530046907</v>
      </c>
      <c r="AP83" s="362">
        <f t="shared" si="248"/>
        <v>120804.90165829289</v>
      </c>
      <c r="AQ83" s="361">
        <f t="shared" si="311"/>
        <v>12136.312355948314</v>
      </c>
      <c r="AR83" s="361">
        <f t="shared" si="312"/>
        <v>12500.401726626764</v>
      </c>
      <c r="AS83" s="361">
        <f t="shared" si="313"/>
        <v>12875.413778425567</v>
      </c>
      <c r="AT83" s="361">
        <f t="shared" si="314"/>
        <v>13261.676191778335</v>
      </c>
      <c r="AU83" s="361">
        <f t="shared" si="315"/>
        <v>13659.526477531686</v>
      </c>
      <c r="AV83" s="361">
        <f t="shared" si="316"/>
        <v>14069.312271857638</v>
      </c>
      <c r="AW83" s="361">
        <f t="shared" si="317"/>
        <v>14491.391640013368</v>
      </c>
      <c r="AX83" s="361">
        <f t="shared" si="318"/>
        <v>14926.133389213768</v>
      </c>
      <c r="AY83" s="361">
        <f t="shared" si="319"/>
        <v>15373.917390890181</v>
      </c>
      <c r="AZ83" s="361">
        <f t="shared" si="320"/>
        <v>15835.134912616886</v>
      </c>
      <c r="BA83" s="361">
        <f t="shared" si="321"/>
        <v>16310.188959995394</v>
      </c>
      <c r="BB83" s="361">
        <f t="shared" si="322"/>
        <v>16799.494628795255</v>
      </c>
      <c r="BC83" s="341">
        <f t="shared" si="259"/>
        <v>172238.90372369316</v>
      </c>
      <c r="BD83" s="361">
        <f t="shared" si="323"/>
        <v>17303.479467659112</v>
      </c>
      <c r="BE83" s="361">
        <f t="shared" si="324"/>
        <v>17822.583851688887</v>
      </c>
      <c r="BF83" s="361">
        <f t="shared" si="325"/>
        <v>18357.261367239553</v>
      </c>
      <c r="BG83" s="361">
        <f t="shared" si="326"/>
        <v>18907.97920825674</v>
      </c>
      <c r="BH83" s="361">
        <f t="shared" si="327"/>
        <v>19475.218584504444</v>
      </c>
      <c r="BI83" s="361">
        <f t="shared" si="328"/>
        <v>20059.475142039577</v>
      </c>
      <c r="BJ83" s="361">
        <f t="shared" si="329"/>
        <v>20661.259396300764</v>
      </c>
      <c r="BK83" s="361">
        <f t="shared" si="330"/>
        <v>21281.097178189786</v>
      </c>
      <c r="BL83" s="361">
        <f t="shared" si="331"/>
        <v>21919.530093535479</v>
      </c>
      <c r="BM83" s="361">
        <f t="shared" si="332"/>
        <v>22577.115996341545</v>
      </c>
      <c r="BN83" s="361">
        <f t="shared" si="333"/>
        <v>23254.429476231791</v>
      </c>
      <c r="BO83" s="361">
        <f t="shared" si="334"/>
        <v>23952.062360518747</v>
      </c>
      <c r="BP83" s="341">
        <f t="shared" si="271"/>
        <v>245571.49212250646</v>
      </c>
      <c r="BQ83" s="341">
        <f t="shared" si="272"/>
        <v>679315.47437780979</v>
      </c>
    </row>
    <row r="84" spans="1:69" ht="13.5" customHeight="1">
      <c r="A84" s="12"/>
      <c r="B84" s="353" t="s">
        <v>109</v>
      </c>
      <c r="C84" s="353"/>
      <c r="D84" s="353">
        <v>8500</v>
      </c>
      <c r="E84" s="353">
        <v>13000</v>
      </c>
      <c r="F84" s="353">
        <v>6000</v>
      </c>
      <c r="G84" s="353">
        <v>2000</v>
      </c>
      <c r="H84" s="353">
        <v>0</v>
      </c>
      <c r="I84" s="353">
        <v>0</v>
      </c>
      <c r="J84" s="353">
        <v>0</v>
      </c>
      <c r="K84" s="353">
        <f t="shared" ref="K84:O84" si="335">J84</f>
        <v>0</v>
      </c>
      <c r="L84" s="353">
        <f t="shared" si="335"/>
        <v>0</v>
      </c>
      <c r="M84" s="353">
        <f t="shared" si="335"/>
        <v>0</v>
      </c>
      <c r="N84" s="353">
        <f t="shared" si="335"/>
        <v>0</v>
      </c>
      <c r="O84" s="353">
        <f t="shared" si="335"/>
        <v>0</v>
      </c>
      <c r="P84" s="341">
        <f t="shared" si="226"/>
        <v>29500</v>
      </c>
      <c r="Q84" s="353">
        <v>2500</v>
      </c>
      <c r="R84" s="353">
        <f t="shared" ref="R84:U84" si="336">Q84</f>
        <v>2500</v>
      </c>
      <c r="S84" s="353">
        <f t="shared" si="336"/>
        <v>2500</v>
      </c>
      <c r="T84" s="353">
        <f t="shared" si="336"/>
        <v>2500</v>
      </c>
      <c r="U84" s="353">
        <f t="shared" si="336"/>
        <v>2500</v>
      </c>
      <c r="V84" s="353">
        <v>2500</v>
      </c>
      <c r="W84" s="353">
        <f t="shared" ref="W84:AB84" si="337">V84</f>
        <v>2500</v>
      </c>
      <c r="X84" s="353">
        <f t="shared" si="337"/>
        <v>2500</v>
      </c>
      <c r="Y84" s="353">
        <f t="shared" si="337"/>
        <v>2500</v>
      </c>
      <c r="Z84" s="353">
        <f t="shared" si="337"/>
        <v>2500</v>
      </c>
      <c r="AA84" s="353">
        <f t="shared" si="337"/>
        <v>2500</v>
      </c>
      <c r="AB84" s="353">
        <f t="shared" si="337"/>
        <v>2500</v>
      </c>
      <c r="AC84" s="341">
        <f t="shared" si="237"/>
        <v>30000</v>
      </c>
      <c r="AD84" s="353">
        <v>5000</v>
      </c>
      <c r="AE84" s="353">
        <f t="shared" ref="AE84:AF84" si="338">AD84</f>
        <v>5000</v>
      </c>
      <c r="AF84" s="353">
        <f t="shared" si="338"/>
        <v>5000</v>
      </c>
      <c r="AG84" s="353">
        <f t="shared" ref="AG84:AG85" si="339">AF84</f>
        <v>5000</v>
      </c>
      <c r="AH84" s="353">
        <f t="shared" ref="AH84:AH85" si="340">AG84</f>
        <v>5000</v>
      </c>
      <c r="AI84" s="353">
        <f t="shared" ref="AI84:AI85" si="341">AH84</f>
        <v>5000</v>
      </c>
      <c r="AJ84" s="353">
        <f t="shared" ref="AJ84:AJ85" si="342">AI84</f>
        <v>5000</v>
      </c>
      <c r="AK84" s="353">
        <f t="shared" ref="AK84:AK85" si="343">AJ84</f>
        <v>5000</v>
      </c>
      <c r="AL84" s="353">
        <f t="shared" ref="AL84:AL85" si="344">AK84</f>
        <v>5000</v>
      </c>
      <c r="AM84" s="353">
        <f t="shared" ref="AM84:AM85" si="345">AL84</f>
        <v>5000</v>
      </c>
      <c r="AN84" s="353">
        <f t="shared" ref="AN84:AN85" si="346">AM84</f>
        <v>5000</v>
      </c>
      <c r="AO84" s="353">
        <f t="shared" ref="AO84:AO85" si="347">AN84</f>
        <v>5000</v>
      </c>
      <c r="AP84" s="341">
        <f t="shared" si="248"/>
        <v>60000</v>
      </c>
      <c r="AQ84" s="353">
        <v>10000</v>
      </c>
      <c r="AR84" s="353">
        <f t="shared" ref="AR84:AR85" si="348">AQ84</f>
        <v>10000</v>
      </c>
      <c r="AS84" s="353">
        <f t="shared" ref="AS84:AS85" si="349">AR84</f>
        <v>10000</v>
      </c>
      <c r="AT84" s="353">
        <f t="shared" ref="AT84:AT85" si="350">AS84</f>
        <v>10000</v>
      </c>
      <c r="AU84" s="353">
        <f t="shared" ref="AU84:AU85" si="351">AT84</f>
        <v>10000</v>
      </c>
      <c r="AV84" s="353">
        <f t="shared" ref="AV84:AV85" si="352">AU84</f>
        <v>10000</v>
      </c>
      <c r="AW84" s="353">
        <f t="shared" ref="AW84:AW85" si="353">AV84</f>
        <v>10000</v>
      </c>
      <c r="AX84" s="353">
        <f t="shared" ref="AX84:AX85" si="354">AW84</f>
        <v>10000</v>
      </c>
      <c r="AY84" s="353">
        <f t="shared" ref="AY84:AY85" si="355">AX84</f>
        <v>10000</v>
      </c>
      <c r="AZ84" s="353">
        <f t="shared" ref="AZ84:AZ85" si="356">AY84</f>
        <v>10000</v>
      </c>
      <c r="BA84" s="353">
        <f t="shared" ref="BA84:BA85" si="357">AZ84</f>
        <v>10000</v>
      </c>
      <c r="BB84" s="353">
        <f t="shared" ref="BB84:BB85" si="358">BA84</f>
        <v>10000</v>
      </c>
      <c r="BC84" s="341">
        <f t="shared" si="259"/>
        <v>120000</v>
      </c>
      <c r="BD84" s="353">
        <v>15000</v>
      </c>
      <c r="BE84" s="353">
        <f t="shared" ref="BE84:BF84" si="359">BD84</f>
        <v>15000</v>
      </c>
      <c r="BF84" s="353">
        <f t="shared" si="359"/>
        <v>15000</v>
      </c>
      <c r="BG84" s="353">
        <f t="shared" ref="BG84:BG85" si="360">BF84</f>
        <v>15000</v>
      </c>
      <c r="BH84" s="353">
        <f t="shared" ref="BH84:BH85" si="361">BG84</f>
        <v>15000</v>
      </c>
      <c r="BI84" s="353">
        <f t="shared" ref="BI84:BI85" si="362">BH84</f>
        <v>15000</v>
      </c>
      <c r="BJ84" s="353">
        <f t="shared" ref="BJ84:BJ85" si="363">BI84</f>
        <v>15000</v>
      </c>
      <c r="BK84" s="353">
        <f t="shared" ref="BK84:BK85" si="364">BJ84</f>
        <v>15000</v>
      </c>
      <c r="BL84" s="353">
        <f t="shared" ref="BL84:BL85" si="365">BK84</f>
        <v>15000</v>
      </c>
      <c r="BM84" s="353">
        <f t="shared" ref="BM84:BM85" si="366">BL84</f>
        <v>15000</v>
      </c>
      <c r="BN84" s="353">
        <f t="shared" ref="BN84:BN85" si="367">BM84</f>
        <v>15000</v>
      </c>
      <c r="BO84" s="353">
        <f t="shared" ref="BO84:BO85" si="368">BN84</f>
        <v>15000</v>
      </c>
      <c r="BP84" s="341">
        <f t="shared" si="271"/>
        <v>180000</v>
      </c>
      <c r="BQ84" s="341">
        <f t="shared" si="272"/>
        <v>419500</v>
      </c>
    </row>
    <row r="85" spans="1:69" ht="13.5" customHeight="1">
      <c r="A85" s="12"/>
      <c r="B85" s="353" t="s">
        <v>110</v>
      </c>
      <c r="C85" s="353"/>
      <c r="D85" s="353">
        <v>3720</v>
      </c>
      <c r="E85" s="353">
        <v>3150</v>
      </c>
      <c r="F85" s="353">
        <v>2525</v>
      </c>
      <c r="G85" s="353">
        <v>4860</v>
      </c>
      <c r="H85" s="353">
        <v>3885</v>
      </c>
      <c r="I85" s="353">
        <v>24000</v>
      </c>
      <c r="J85" s="353">
        <v>8000</v>
      </c>
      <c r="K85" s="353">
        <f t="shared" ref="K85:O85" si="369">J85</f>
        <v>8000</v>
      </c>
      <c r="L85" s="353">
        <f t="shared" si="369"/>
        <v>8000</v>
      </c>
      <c r="M85" s="353">
        <f t="shared" si="369"/>
        <v>8000</v>
      </c>
      <c r="N85" s="353">
        <f t="shared" si="369"/>
        <v>8000</v>
      </c>
      <c r="O85" s="353">
        <f t="shared" si="369"/>
        <v>8000</v>
      </c>
      <c r="P85" s="341">
        <f t="shared" si="226"/>
        <v>90140</v>
      </c>
      <c r="Q85" s="353">
        <f t="shared" ref="Q85" si="370">O85</f>
        <v>8000</v>
      </c>
      <c r="R85" s="353">
        <f t="shared" ref="R85:V85" si="371">Q85</f>
        <v>8000</v>
      </c>
      <c r="S85" s="353">
        <f t="shared" si="371"/>
        <v>8000</v>
      </c>
      <c r="T85" s="353">
        <f t="shared" si="371"/>
        <v>8000</v>
      </c>
      <c r="U85" s="353">
        <f>T85</f>
        <v>8000</v>
      </c>
      <c r="V85" s="353">
        <f t="shared" si="371"/>
        <v>8000</v>
      </c>
      <c r="W85" s="353">
        <f t="shared" ref="W85:AB85" si="372">V85</f>
        <v>8000</v>
      </c>
      <c r="X85" s="353">
        <f t="shared" si="372"/>
        <v>8000</v>
      </c>
      <c r="Y85" s="353">
        <f t="shared" si="372"/>
        <v>8000</v>
      </c>
      <c r="Z85" s="353">
        <f t="shared" si="372"/>
        <v>8000</v>
      </c>
      <c r="AA85" s="353">
        <f t="shared" si="372"/>
        <v>8000</v>
      </c>
      <c r="AB85" s="353">
        <f t="shared" si="372"/>
        <v>8000</v>
      </c>
      <c r="AC85" s="341">
        <f t="shared" si="237"/>
        <v>96000</v>
      </c>
      <c r="AD85" s="353">
        <v>5000</v>
      </c>
      <c r="AE85" s="353">
        <f t="shared" ref="AE85:AF85" si="373">AD85</f>
        <v>5000</v>
      </c>
      <c r="AF85" s="353">
        <f t="shared" si="373"/>
        <v>5000</v>
      </c>
      <c r="AG85" s="353">
        <f t="shared" si="339"/>
        <v>5000</v>
      </c>
      <c r="AH85" s="353">
        <f t="shared" si="340"/>
        <v>5000</v>
      </c>
      <c r="AI85" s="353">
        <f t="shared" si="341"/>
        <v>5000</v>
      </c>
      <c r="AJ85" s="353">
        <f t="shared" si="342"/>
        <v>5000</v>
      </c>
      <c r="AK85" s="353">
        <f t="shared" si="343"/>
        <v>5000</v>
      </c>
      <c r="AL85" s="353">
        <f t="shared" si="344"/>
        <v>5000</v>
      </c>
      <c r="AM85" s="353">
        <f t="shared" si="345"/>
        <v>5000</v>
      </c>
      <c r="AN85" s="353">
        <f t="shared" si="346"/>
        <v>5000</v>
      </c>
      <c r="AO85" s="353">
        <f t="shared" si="347"/>
        <v>5000</v>
      </c>
      <c r="AP85" s="341">
        <f t="shared" si="248"/>
        <v>60000</v>
      </c>
      <c r="AQ85" s="353">
        <v>10000</v>
      </c>
      <c r="AR85" s="353">
        <f t="shared" si="348"/>
        <v>10000</v>
      </c>
      <c r="AS85" s="353">
        <f t="shared" si="349"/>
        <v>10000</v>
      </c>
      <c r="AT85" s="353">
        <f t="shared" si="350"/>
        <v>10000</v>
      </c>
      <c r="AU85" s="353">
        <f t="shared" si="351"/>
        <v>10000</v>
      </c>
      <c r="AV85" s="353">
        <f t="shared" si="352"/>
        <v>10000</v>
      </c>
      <c r="AW85" s="353">
        <f t="shared" si="353"/>
        <v>10000</v>
      </c>
      <c r="AX85" s="353">
        <f t="shared" si="354"/>
        <v>10000</v>
      </c>
      <c r="AY85" s="353">
        <f t="shared" si="355"/>
        <v>10000</v>
      </c>
      <c r="AZ85" s="353">
        <f t="shared" si="356"/>
        <v>10000</v>
      </c>
      <c r="BA85" s="353">
        <f t="shared" si="357"/>
        <v>10000</v>
      </c>
      <c r="BB85" s="353">
        <f t="shared" si="358"/>
        <v>10000</v>
      </c>
      <c r="BC85" s="341">
        <f t="shared" si="259"/>
        <v>120000</v>
      </c>
      <c r="BD85" s="353">
        <v>15000</v>
      </c>
      <c r="BE85" s="353">
        <f t="shared" ref="BE85:BF85" si="374">BD85</f>
        <v>15000</v>
      </c>
      <c r="BF85" s="353">
        <f t="shared" si="374"/>
        <v>15000</v>
      </c>
      <c r="BG85" s="353">
        <f t="shared" si="360"/>
        <v>15000</v>
      </c>
      <c r="BH85" s="353">
        <f t="shared" si="361"/>
        <v>15000</v>
      </c>
      <c r="BI85" s="353">
        <f t="shared" si="362"/>
        <v>15000</v>
      </c>
      <c r="BJ85" s="353">
        <f t="shared" si="363"/>
        <v>15000</v>
      </c>
      <c r="BK85" s="353">
        <f t="shared" si="364"/>
        <v>15000</v>
      </c>
      <c r="BL85" s="353">
        <f t="shared" si="365"/>
        <v>15000</v>
      </c>
      <c r="BM85" s="353">
        <f t="shared" si="366"/>
        <v>15000</v>
      </c>
      <c r="BN85" s="353">
        <f t="shared" si="367"/>
        <v>15000</v>
      </c>
      <c r="BO85" s="353">
        <f t="shared" si="368"/>
        <v>15000</v>
      </c>
      <c r="BP85" s="341">
        <f t="shared" si="271"/>
        <v>180000</v>
      </c>
      <c r="BQ85" s="341">
        <f t="shared" si="272"/>
        <v>546140</v>
      </c>
    </row>
    <row r="86" spans="1:69" ht="13.5" customHeight="1">
      <c r="A86" s="70"/>
      <c r="B86" s="384" t="s">
        <v>111</v>
      </c>
      <c r="C86" s="391">
        <v>0.05</v>
      </c>
      <c r="D86" s="361">
        <v>1500</v>
      </c>
      <c r="E86" s="361">
        <f>D86*(1+$C86)</f>
        <v>1575</v>
      </c>
      <c r="F86" s="361">
        <f t="shared" ref="F86:O86" si="375">E86*(1+$C86)</f>
        <v>1653.75</v>
      </c>
      <c r="G86" s="361">
        <f t="shared" si="375"/>
        <v>1736.4375</v>
      </c>
      <c r="H86" s="361">
        <f t="shared" si="375"/>
        <v>1823.2593750000001</v>
      </c>
      <c r="I86" s="361">
        <f t="shared" si="375"/>
        <v>1914.4223437500002</v>
      </c>
      <c r="J86" s="361">
        <f t="shared" si="375"/>
        <v>2010.1434609375003</v>
      </c>
      <c r="K86" s="361">
        <f t="shared" si="375"/>
        <v>2110.6506339843754</v>
      </c>
      <c r="L86" s="361">
        <f t="shared" si="375"/>
        <v>2216.1831656835943</v>
      </c>
      <c r="M86" s="361">
        <f t="shared" si="375"/>
        <v>2326.9923239677742</v>
      </c>
      <c r="N86" s="361">
        <f t="shared" si="375"/>
        <v>2443.3419401661631</v>
      </c>
      <c r="O86" s="361">
        <f t="shared" si="375"/>
        <v>2565.5090371744714</v>
      </c>
      <c r="P86" s="341">
        <f t="shared" ref="P86" si="376">SUM(D86:O86)</f>
        <v>23875.689780663877</v>
      </c>
      <c r="Q86" s="361">
        <f t="shared" ref="Q86" si="377">O86*(1+$C86)</f>
        <v>2693.7844890331949</v>
      </c>
      <c r="R86" s="361">
        <f t="shared" ref="R86" si="378">Q86*(1+$C86)</f>
        <v>2828.4737134848547</v>
      </c>
      <c r="S86" s="361">
        <f t="shared" ref="S86" si="379">R86*(1+$C86)</f>
        <v>2969.8973991590974</v>
      </c>
      <c r="T86" s="361">
        <f t="shared" ref="T86" si="380">S86*(1+$C86)</f>
        <v>3118.3922691170524</v>
      </c>
      <c r="U86" s="361">
        <f t="shared" ref="U86" si="381">T86*(1+$C86)</f>
        <v>3274.3118825729052</v>
      </c>
      <c r="V86" s="361">
        <f t="shared" ref="V86" si="382">U86*(1+$C86)</f>
        <v>3438.0274767015508</v>
      </c>
      <c r="W86" s="361">
        <f t="shared" ref="W86" si="383">V86*(1+$C86)</f>
        <v>3609.9288505366285</v>
      </c>
      <c r="X86" s="361">
        <f t="shared" ref="X86" si="384">W86*(1+$C86)</f>
        <v>3790.4252930634602</v>
      </c>
      <c r="Y86" s="361">
        <f t="shared" ref="Y86" si="385">X86*(1+$C86)</f>
        <v>3979.9465577166334</v>
      </c>
      <c r="Z86" s="361">
        <f t="shared" ref="Z86" si="386">Y86*(1+$C86)</f>
        <v>4178.9438856024653</v>
      </c>
      <c r="AA86" s="361">
        <f t="shared" ref="AA86" si="387">Z86*(1+$C86)</f>
        <v>4387.8910798825891</v>
      </c>
      <c r="AB86" s="361">
        <f>AA86*(1+$C86)</f>
        <v>4607.2856338767187</v>
      </c>
      <c r="AC86" s="362">
        <f t="shared" ref="AC86" si="388">SUM(Q86:AB86)</f>
        <v>42877.308530747148</v>
      </c>
      <c r="AD86" s="361">
        <f t="shared" ref="AD86" si="389">AB86*(1+$C86)</f>
        <v>4837.6499155705551</v>
      </c>
      <c r="AE86" s="361">
        <f t="shared" ref="AE86" si="390">AD86*(1+$C86)</f>
        <v>5079.5324113490833</v>
      </c>
      <c r="AF86" s="361">
        <f t="shared" ref="AF86" si="391">AE86*(1+$C86)</f>
        <v>5333.5090319165374</v>
      </c>
      <c r="AG86" s="361">
        <f t="shared" ref="AG86" si="392">AF86*(1+$C86)</f>
        <v>5600.1844835123647</v>
      </c>
      <c r="AH86" s="361">
        <f t="shared" ref="AH86" si="393">AG86*(1+$C86)</f>
        <v>5880.1937076879831</v>
      </c>
      <c r="AI86" s="361">
        <f t="shared" ref="AI86" si="394">AH86*(1+$C86)</f>
        <v>6174.2033930723828</v>
      </c>
      <c r="AJ86" s="361">
        <f t="shared" ref="AJ86" si="395">AI86*(1+$C86)</f>
        <v>6482.9135627260021</v>
      </c>
      <c r="AK86" s="361">
        <f t="shared" ref="AK86" si="396">AJ86*(1+$C86)</f>
        <v>6807.0592408623024</v>
      </c>
      <c r="AL86" s="361">
        <f t="shared" ref="AL86" si="397">AK86*(1+$C86)</f>
        <v>7147.4122029054179</v>
      </c>
      <c r="AM86" s="361">
        <f t="shared" ref="AM86" si="398">AL86*(1+$C86)</f>
        <v>7504.7828130506887</v>
      </c>
      <c r="AN86" s="361">
        <f t="shared" ref="AN86" si="399">AM86*(1+$C86)</f>
        <v>7880.0219537032235</v>
      </c>
      <c r="AO86" s="361">
        <f>AN86*(1+$C86)</f>
        <v>8274.0230513883853</v>
      </c>
      <c r="AP86" s="362">
        <f t="shared" si="248"/>
        <v>77001.485767744933</v>
      </c>
      <c r="AQ86" s="361">
        <f t="shared" ref="AQ86" si="400">AO86*(1+$C86)</f>
        <v>8687.724203957805</v>
      </c>
      <c r="AR86" s="361">
        <f t="shared" ref="AR86" si="401">AQ86*(1+$C86)</f>
        <v>9122.1104141556953</v>
      </c>
      <c r="AS86" s="361">
        <f t="shared" ref="AS86" si="402">AR86*(1+$C86)</f>
        <v>9578.2159348634796</v>
      </c>
      <c r="AT86" s="361">
        <f t="shared" ref="AT86" si="403">AS86*(1+$C86)</f>
        <v>10057.126731606653</v>
      </c>
      <c r="AU86" s="361">
        <f t="shared" ref="AU86" si="404">AT86*(1+$C86)</f>
        <v>10559.983068186986</v>
      </c>
      <c r="AV86" s="361">
        <f t="shared" ref="AV86" si="405">AU86*(1+$C86)</f>
        <v>11087.982221596336</v>
      </c>
      <c r="AW86" s="361">
        <f t="shared" ref="AW86" si="406">AV86*(1+$C86)</f>
        <v>11642.381332676154</v>
      </c>
      <c r="AX86" s="361">
        <f t="shared" ref="AX86" si="407">AW86*(1+$C86)</f>
        <v>12224.500399309962</v>
      </c>
      <c r="AY86" s="361">
        <f t="shared" ref="AY86" si="408">AX86*(1+$C86)</f>
        <v>12835.725419275461</v>
      </c>
      <c r="AZ86" s="361">
        <f t="shared" ref="AZ86" si="409">AY86*(1+$C86)</f>
        <v>13477.511690239235</v>
      </c>
      <c r="BA86" s="361">
        <f t="shared" ref="BA86" si="410">AZ86*(1+$C86)</f>
        <v>14151.387274751198</v>
      </c>
      <c r="BB86" s="361">
        <f>BA86*(1+$C86)</f>
        <v>14858.956638488758</v>
      </c>
      <c r="BC86" s="341">
        <f t="shared" si="259"/>
        <v>138283.60532910773</v>
      </c>
      <c r="BD86" s="361">
        <f t="shared" ref="BD86" si="411">BB86*(1+$C86)</f>
        <v>15601.904470413197</v>
      </c>
      <c r="BE86" s="361">
        <f t="shared" ref="BE86" si="412">BD86*(1+$C86)</f>
        <v>16381.999693933858</v>
      </c>
      <c r="BF86" s="361">
        <f t="shared" ref="BF86" si="413">BE86*(1+$C86)</f>
        <v>17201.099678630551</v>
      </c>
      <c r="BG86" s="361">
        <f t="shared" ref="BG86" si="414">BF86*(1+$C86)</f>
        <v>18061.154662562079</v>
      </c>
      <c r="BH86" s="361">
        <f t="shared" ref="BH86" si="415">BG86*(1+$C86)</f>
        <v>18964.212395690185</v>
      </c>
      <c r="BI86" s="361">
        <f t="shared" ref="BI86" si="416">BH86*(1+$C86)</f>
        <v>19912.423015474695</v>
      </c>
      <c r="BJ86" s="361">
        <f t="shared" ref="BJ86" si="417">BI86*(1+$C86)</f>
        <v>20908.04416624843</v>
      </c>
      <c r="BK86" s="361">
        <f t="shared" ref="BK86" si="418">BJ86*(1+$C86)</f>
        <v>21953.446374560852</v>
      </c>
      <c r="BL86" s="361">
        <f t="shared" ref="BL86" si="419">BK86*(1+$C86)</f>
        <v>23051.118693288896</v>
      </c>
      <c r="BM86" s="361">
        <f t="shared" ref="BM86" si="420">BL86*(1+$C86)</f>
        <v>24203.67462795334</v>
      </c>
      <c r="BN86" s="361">
        <f t="shared" ref="BN86" si="421">BM86*(1+$C86)</f>
        <v>25413.858359351008</v>
      </c>
      <c r="BO86" s="361">
        <f>BN86*(1+$C86)</f>
        <v>26684.551277318558</v>
      </c>
      <c r="BP86" s="341">
        <f t="shared" ref="BP86" si="422">SUM(BD86:BO86)</f>
        <v>248337.48741542565</v>
      </c>
      <c r="BQ86" s="341">
        <f t="shared" ref="BQ86" si="423">P86+AC86+AP86+BC86+BP86</f>
        <v>530375.57682368928</v>
      </c>
    </row>
    <row r="87" spans="1:69" ht="13.5" customHeight="1">
      <c r="A87" s="55"/>
      <c r="B87" s="382" t="s">
        <v>112</v>
      </c>
      <c r="C87" s="382"/>
      <c r="D87" s="355">
        <f t="shared" ref="D87:O87" si="424">SUM(D79:D86)</f>
        <v>13720</v>
      </c>
      <c r="E87" s="355">
        <f t="shared" si="424"/>
        <v>27500</v>
      </c>
      <c r="F87" s="355">
        <f t="shared" si="424"/>
        <v>22689.75</v>
      </c>
      <c r="G87" s="355">
        <f t="shared" si="424"/>
        <v>15313.4375</v>
      </c>
      <c r="H87" s="355">
        <f t="shared" si="424"/>
        <v>11808.259375</v>
      </c>
      <c r="I87" s="355">
        <f t="shared" si="424"/>
        <v>38334.422343749997</v>
      </c>
      <c r="J87" s="355">
        <f t="shared" si="424"/>
        <v>20014.143460937499</v>
      </c>
      <c r="K87" s="355">
        <f t="shared" si="424"/>
        <v>20320.270633984375</v>
      </c>
      <c r="L87" s="355">
        <f t="shared" si="424"/>
        <v>20637.591765683595</v>
      </c>
      <c r="M87" s="355">
        <f t="shared" si="424"/>
        <v>20966.543181967776</v>
      </c>
      <c r="N87" s="355">
        <f t="shared" si="424"/>
        <v>21307.579323906164</v>
      </c>
      <c r="O87" s="355">
        <f t="shared" si="424"/>
        <v>21661.17354242667</v>
      </c>
      <c r="P87" s="356">
        <f>SUM(P79:P86)</f>
        <v>254273.17112765607</v>
      </c>
      <c r="Q87" s="355">
        <f t="shared" ref="Q87:AB87" si="425">SUM(Q79:Q86)</f>
        <v>36377.818929442969</v>
      </c>
      <c r="R87" s="355">
        <f t="shared" si="425"/>
        <v>36758.02918710692</v>
      </c>
      <c r="S87" s="355">
        <f t="shared" si="425"/>
        <v>37152.339536989813</v>
      </c>
      <c r="T87" s="355">
        <f t="shared" si="425"/>
        <v>37561.307671082694</v>
      </c>
      <c r="U87" s="355">
        <f t="shared" si="425"/>
        <v>37985.514746597517</v>
      </c>
      <c r="V87" s="355">
        <f t="shared" si="425"/>
        <v>38425.566426646903</v>
      </c>
      <c r="W87" s="355">
        <f t="shared" si="425"/>
        <v>38882.093968980342</v>
      </c>
      <c r="X87" s="355">
        <f t="shared" si="425"/>
        <v>39355.755365060482</v>
      </c>
      <c r="Y87" s="355">
        <f t="shared" si="425"/>
        <v>39847.236531873568</v>
      </c>
      <c r="Z87" s="355">
        <f t="shared" si="425"/>
        <v>40357.25255898411</v>
      </c>
      <c r="AA87" s="355">
        <f t="shared" si="425"/>
        <v>40886.549013465679</v>
      </c>
      <c r="AB87" s="355">
        <f t="shared" si="425"/>
        <v>41435.903305467305</v>
      </c>
      <c r="AC87" s="356">
        <f>SUM(AC79:AC86)</f>
        <v>465025.36724169826</v>
      </c>
      <c r="AD87" s="355">
        <f t="shared" ref="AD87" si="426">SUM(AD79:AD86)</f>
        <v>51506.126117308857</v>
      </c>
      <c r="AE87" s="355">
        <f t="shared" ref="AE87:AO87" si="427">SUM(AE79:AE86)</f>
        <v>52098.062899139542</v>
      </c>
      <c r="AF87" s="355">
        <f t="shared" si="427"/>
        <v>52712.595434340714</v>
      </c>
      <c r="AG87" s="355">
        <f t="shared" si="427"/>
        <v>53350.643478009253</v>
      </c>
      <c r="AH87" s="355">
        <f t="shared" si="427"/>
        <v>54013.166472019788</v>
      </c>
      <c r="AI87" s="355">
        <f t="shared" si="427"/>
        <v>54701.165340334141</v>
      </c>
      <c r="AJ87" s="355">
        <f t="shared" si="427"/>
        <v>55415.684368405615</v>
      </c>
      <c r="AK87" s="355">
        <f t="shared" si="427"/>
        <v>56157.81317071231</v>
      </c>
      <c r="AL87" s="355">
        <f t="shared" si="427"/>
        <v>56928.688750650923</v>
      </c>
      <c r="AM87" s="355">
        <f t="shared" si="427"/>
        <v>57729.49765722856</v>
      </c>
      <c r="AN87" s="355">
        <f t="shared" si="427"/>
        <v>58561.478243206424</v>
      </c>
      <c r="AO87" s="355">
        <f t="shared" si="427"/>
        <v>59425.92302957669</v>
      </c>
      <c r="AP87" s="356">
        <f>SUM(AP79:AP86)</f>
        <v>662600.84496093285</v>
      </c>
      <c r="AQ87" s="355">
        <f t="shared" ref="AQ87" si="428">SUM(AQ79:AQ86)</f>
        <v>80324.18118149176</v>
      </c>
      <c r="AR87" s="355">
        <f t="shared" ref="AR87:BB87" si="429">SUM(AR79:AR86)</f>
        <v>81257.661101015663</v>
      </c>
      <c r="AS87" s="355">
        <f t="shared" si="429"/>
        <v>82227.83314232924</v>
      </c>
      <c r="AT87" s="355">
        <f t="shared" si="429"/>
        <v>83236.232455296398</v>
      </c>
      <c r="AU87" s="355">
        <f t="shared" si="429"/>
        <v>84284.461963587411</v>
      </c>
      <c r="AV87" s="355">
        <f t="shared" si="429"/>
        <v>85374.195483858784</v>
      </c>
      <c r="AW87" s="355">
        <f t="shared" si="429"/>
        <v>86507.180992806476</v>
      </c>
      <c r="AX87" s="355">
        <f t="shared" si="429"/>
        <v>87685.244049244211</v>
      </c>
      <c r="AY87" s="355">
        <f t="shared" si="429"/>
        <v>88910.291378707712</v>
      </c>
      <c r="AZ87" s="355">
        <f t="shared" si="429"/>
        <v>90184.314628454464</v>
      </c>
      <c r="BA87" s="355">
        <f t="shared" si="429"/>
        <v>91509.394301112872</v>
      </c>
      <c r="BB87" s="355">
        <f t="shared" si="429"/>
        <v>92887.703875641295</v>
      </c>
      <c r="BC87" s="356">
        <f>SUM(BC79:BC86)</f>
        <v>1034388.6945535464</v>
      </c>
      <c r="BD87" s="355">
        <f t="shared" ref="BD87" si="430">SUM(BD79:BD86)</f>
        <v>124321.51412468031</v>
      </c>
      <c r="BE87" s="355">
        <f t="shared" ref="BE87:BO87" si="431">SUM(BE79:BE86)</f>
        <v>125813.19763782898</v>
      </c>
      <c r="BF87" s="355">
        <f t="shared" si="431"/>
        <v>127365.23356084253</v>
      </c>
      <c r="BG87" s="355">
        <f t="shared" si="431"/>
        <v>128980.21256124042</v>
      </c>
      <c r="BH87" s="355">
        <f t="shared" si="431"/>
        <v>130660.84203132888</v>
      </c>
      <c r="BI87" s="355">
        <f t="shared" si="431"/>
        <v>132409.95154018255</v>
      </c>
      <c r="BJ87" s="355">
        <f t="shared" si="431"/>
        <v>134230.49854669752</v>
      </c>
      <c r="BK87" s="355">
        <f t="shared" si="431"/>
        <v>136125.5743864234</v>
      </c>
      <c r="BL87" s="355">
        <f t="shared" si="431"/>
        <v>138098.41054550733</v>
      </c>
      <c r="BM87" s="355">
        <f t="shared" si="431"/>
        <v>140152.38523573833</v>
      </c>
      <c r="BN87" s="355">
        <f t="shared" si="431"/>
        <v>142291.03028536955</v>
      </c>
      <c r="BO87" s="355">
        <f t="shared" si="431"/>
        <v>144518.03836111765</v>
      </c>
      <c r="BP87" s="356">
        <f t="shared" ref="BP87:BQ87" si="432">SUM(BP79:BP86)</f>
        <v>1604966.8888169576</v>
      </c>
      <c r="BQ87" s="356">
        <f t="shared" si="432"/>
        <v>4021254.9667007904</v>
      </c>
    </row>
    <row r="88" spans="1:69" ht="13.5" customHeight="1">
      <c r="A88" s="4"/>
      <c r="B88" s="328"/>
      <c r="C88" s="328"/>
      <c r="D88" s="344"/>
      <c r="E88" s="344"/>
      <c r="F88" s="344"/>
      <c r="G88" s="344"/>
      <c r="H88" s="344"/>
      <c r="I88" s="344"/>
      <c r="J88" s="344"/>
      <c r="K88" s="344"/>
      <c r="L88" s="344"/>
      <c r="M88" s="344"/>
      <c r="N88" s="344"/>
      <c r="O88" s="344"/>
      <c r="P88" s="357"/>
      <c r="Q88" s="344"/>
      <c r="R88" s="344"/>
      <c r="S88" s="344"/>
      <c r="T88" s="344"/>
      <c r="U88" s="344"/>
      <c r="V88" s="344"/>
      <c r="W88" s="344"/>
      <c r="X88" s="344"/>
      <c r="Y88" s="344"/>
      <c r="Z88" s="344"/>
      <c r="AA88" s="344"/>
      <c r="AB88" s="344"/>
      <c r="AC88" s="357"/>
      <c r="AD88" s="344"/>
      <c r="AE88" s="344"/>
      <c r="AF88" s="344"/>
      <c r="AG88" s="344"/>
      <c r="AH88" s="344"/>
      <c r="AI88" s="344"/>
      <c r="AJ88" s="344"/>
      <c r="AK88" s="344"/>
      <c r="AL88" s="344"/>
      <c r="AM88" s="344"/>
      <c r="AN88" s="344"/>
      <c r="AO88" s="344"/>
      <c r="AP88" s="357"/>
      <c r="AQ88" s="344"/>
      <c r="AR88" s="346"/>
      <c r="AS88" s="346"/>
      <c r="AT88" s="346"/>
      <c r="AU88" s="346"/>
      <c r="AV88" s="346"/>
      <c r="AW88" s="346"/>
      <c r="AX88" s="346"/>
      <c r="AY88" s="346"/>
      <c r="AZ88" s="346"/>
      <c r="BA88" s="346"/>
      <c r="BB88" s="346"/>
      <c r="BC88" s="358"/>
      <c r="BD88" s="344"/>
      <c r="BE88" s="346"/>
      <c r="BF88" s="346"/>
      <c r="BG88" s="346"/>
      <c r="BH88" s="346"/>
      <c r="BI88" s="346"/>
      <c r="BJ88" s="346"/>
      <c r="BK88" s="346"/>
      <c r="BL88" s="346"/>
      <c r="BM88" s="346"/>
      <c r="BN88" s="346"/>
      <c r="BO88" s="346"/>
      <c r="BP88" s="358"/>
      <c r="BQ88" s="358"/>
    </row>
    <row r="89" spans="1:69" ht="13.5" customHeight="1">
      <c r="A89" s="67" t="s">
        <v>113</v>
      </c>
      <c r="B89" s="380"/>
      <c r="C89" s="380"/>
      <c r="D89" s="349"/>
      <c r="E89" s="349"/>
      <c r="F89" s="349"/>
      <c r="G89" s="349"/>
      <c r="H89" s="349"/>
      <c r="I89" s="349"/>
      <c r="J89" s="349"/>
      <c r="K89" s="349"/>
      <c r="L89" s="349"/>
      <c r="M89" s="349"/>
      <c r="N89" s="349"/>
      <c r="O89" s="349"/>
      <c r="P89" s="350"/>
      <c r="Q89" s="349"/>
      <c r="R89" s="349"/>
      <c r="S89" s="349"/>
      <c r="T89" s="349"/>
      <c r="U89" s="349"/>
      <c r="V89" s="349"/>
      <c r="W89" s="349"/>
      <c r="X89" s="349"/>
      <c r="Y89" s="349"/>
      <c r="Z89" s="349"/>
      <c r="AA89" s="349"/>
      <c r="AB89" s="349"/>
      <c r="AC89" s="350"/>
      <c r="AD89" s="349"/>
      <c r="AE89" s="349"/>
      <c r="AF89" s="349"/>
      <c r="AG89" s="349"/>
      <c r="AH89" s="349"/>
      <c r="AI89" s="349"/>
      <c r="AJ89" s="349"/>
      <c r="AK89" s="349"/>
      <c r="AL89" s="349"/>
      <c r="AM89" s="349"/>
      <c r="AN89" s="349"/>
      <c r="AO89" s="349"/>
      <c r="AP89" s="350"/>
      <c r="AQ89" s="349"/>
      <c r="AR89" s="351"/>
      <c r="AS89" s="351"/>
      <c r="AT89" s="351"/>
      <c r="AU89" s="351"/>
      <c r="AV89" s="351"/>
      <c r="AW89" s="351"/>
      <c r="AX89" s="351"/>
      <c r="AY89" s="351"/>
      <c r="AZ89" s="351"/>
      <c r="BA89" s="351"/>
      <c r="BB89" s="351"/>
      <c r="BC89" s="352"/>
      <c r="BD89" s="349"/>
      <c r="BE89" s="351"/>
      <c r="BF89" s="351"/>
      <c r="BG89" s="351"/>
      <c r="BH89" s="351"/>
      <c r="BI89" s="351"/>
      <c r="BJ89" s="351"/>
      <c r="BK89" s="351"/>
      <c r="BL89" s="351"/>
      <c r="BM89" s="351"/>
      <c r="BN89" s="351"/>
      <c r="BO89" s="351"/>
      <c r="BP89" s="352"/>
      <c r="BQ89" s="352"/>
    </row>
    <row r="90" spans="1:69" ht="13.5" customHeight="1">
      <c r="A90" s="68"/>
      <c r="B90" s="353" t="s">
        <v>114</v>
      </c>
      <c r="C90" s="353"/>
      <c r="D90" s="353">
        <v>22000</v>
      </c>
      <c r="E90" s="353">
        <v>5000</v>
      </c>
      <c r="F90" s="353">
        <v>13000</v>
      </c>
      <c r="G90" s="353">
        <v>4000</v>
      </c>
      <c r="H90" s="353">
        <v>2000</v>
      </c>
      <c r="I90" s="353">
        <f t="shared" ref="I90:O90" si="433">H90</f>
        <v>2000</v>
      </c>
      <c r="J90" s="353">
        <f t="shared" si="433"/>
        <v>2000</v>
      </c>
      <c r="K90" s="353">
        <f t="shared" si="433"/>
        <v>2000</v>
      </c>
      <c r="L90" s="353">
        <f t="shared" si="433"/>
        <v>2000</v>
      </c>
      <c r="M90" s="353">
        <f t="shared" si="433"/>
        <v>2000</v>
      </c>
      <c r="N90" s="353">
        <f t="shared" si="433"/>
        <v>2000</v>
      </c>
      <c r="O90" s="353">
        <f t="shared" si="433"/>
        <v>2000</v>
      </c>
      <c r="P90" s="341">
        <f t="shared" ref="P90:P92" si="434">SUM(D90:O90)</f>
        <v>60000</v>
      </c>
      <c r="Q90" s="353">
        <v>10000</v>
      </c>
      <c r="R90" s="353">
        <f>Q90</f>
        <v>10000</v>
      </c>
      <c r="S90" s="353">
        <f t="shared" ref="S90:AB92" si="435">R90</f>
        <v>10000</v>
      </c>
      <c r="T90" s="353">
        <f t="shared" si="435"/>
        <v>10000</v>
      </c>
      <c r="U90" s="353">
        <f t="shared" si="435"/>
        <v>10000</v>
      </c>
      <c r="V90" s="353">
        <f t="shared" si="435"/>
        <v>10000</v>
      </c>
      <c r="W90" s="353">
        <f t="shared" si="435"/>
        <v>10000</v>
      </c>
      <c r="X90" s="353">
        <f t="shared" si="435"/>
        <v>10000</v>
      </c>
      <c r="Y90" s="353">
        <f t="shared" si="435"/>
        <v>10000</v>
      </c>
      <c r="Z90" s="353">
        <f t="shared" si="435"/>
        <v>10000</v>
      </c>
      <c r="AA90" s="353">
        <f t="shared" si="435"/>
        <v>10000</v>
      </c>
      <c r="AB90" s="353">
        <f t="shared" si="435"/>
        <v>10000</v>
      </c>
      <c r="AC90" s="341">
        <f t="shared" ref="AC90:AC92" si="436">SUM(Q90:AB90)</f>
        <v>120000</v>
      </c>
      <c r="AD90" s="353">
        <v>15000</v>
      </c>
      <c r="AE90" s="353">
        <f>AD90</f>
        <v>15000</v>
      </c>
      <c r="AF90" s="353">
        <f t="shared" ref="AF90:AO92" si="437">AE90</f>
        <v>15000</v>
      </c>
      <c r="AG90" s="353">
        <f t="shared" si="437"/>
        <v>15000</v>
      </c>
      <c r="AH90" s="353">
        <f t="shared" si="437"/>
        <v>15000</v>
      </c>
      <c r="AI90" s="353">
        <f t="shared" si="437"/>
        <v>15000</v>
      </c>
      <c r="AJ90" s="353">
        <f t="shared" si="437"/>
        <v>15000</v>
      </c>
      <c r="AK90" s="353">
        <f t="shared" si="437"/>
        <v>15000</v>
      </c>
      <c r="AL90" s="353">
        <f t="shared" si="437"/>
        <v>15000</v>
      </c>
      <c r="AM90" s="353">
        <f t="shared" si="437"/>
        <v>15000</v>
      </c>
      <c r="AN90" s="353">
        <f t="shared" si="437"/>
        <v>15000</v>
      </c>
      <c r="AO90" s="353">
        <f t="shared" si="437"/>
        <v>15000</v>
      </c>
      <c r="AP90" s="341">
        <f t="shared" ref="AP90:AP92" si="438">SUM(AD90:AO90)</f>
        <v>180000</v>
      </c>
      <c r="AQ90" s="353">
        <v>20000</v>
      </c>
      <c r="AR90" s="353">
        <f>AQ90</f>
        <v>20000</v>
      </c>
      <c r="AS90" s="353">
        <f t="shared" ref="AS90:BB92" si="439">AR90</f>
        <v>20000</v>
      </c>
      <c r="AT90" s="353">
        <f t="shared" si="439"/>
        <v>20000</v>
      </c>
      <c r="AU90" s="353">
        <f t="shared" si="439"/>
        <v>20000</v>
      </c>
      <c r="AV90" s="353">
        <f t="shared" si="439"/>
        <v>20000</v>
      </c>
      <c r="AW90" s="353">
        <f t="shared" si="439"/>
        <v>20000</v>
      </c>
      <c r="AX90" s="353">
        <f t="shared" si="439"/>
        <v>20000</v>
      </c>
      <c r="AY90" s="353">
        <f t="shared" si="439"/>
        <v>20000</v>
      </c>
      <c r="AZ90" s="353">
        <f t="shared" si="439"/>
        <v>20000</v>
      </c>
      <c r="BA90" s="353">
        <f t="shared" si="439"/>
        <v>20000</v>
      </c>
      <c r="BB90" s="353">
        <f t="shared" si="439"/>
        <v>20000</v>
      </c>
      <c r="BC90" s="341">
        <f t="shared" ref="BC90:BC92" si="440">SUM(AQ90:BB90)</f>
        <v>240000</v>
      </c>
      <c r="BD90" s="353">
        <f>BB90</f>
        <v>20000</v>
      </c>
      <c r="BE90" s="353">
        <f>BD90</f>
        <v>20000</v>
      </c>
      <c r="BF90" s="353">
        <f t="shared" ref="BF90" si="441">BE90</f>
        <v>20000</v>
      </c>
      <c r="BG90" s="353">
        <f t="shared" ref="BG90" si="442">BF90</f>
        <v>20000</v>
      </c>
      <c r="BH90" s="353">
        <f>BG90</f>
        <v>20000</v>
      </c>
      <c r="BI90" s="353">
        <f t="shared" ref="BI90:BI91" si="443">BH90</f>
        <v>20000</v>
      </c>
      <c r="BJ90" s="353">
        <f t="shared" ref="BJ90:BJ91" si="444">BI90</f>
        <v>20000</v>
      </c>
      <c r="BK90" s="353">
        <f t="shared" ref="BK90:BK91" si="445">BJ90</f>
        <v>20000</v>
      </c>
      <c r="BL90" s="353">
        <f t="shared" ref="BL90:BL91" si="446">BK90</f>
        <v>20000</v>
      </c>
      <c r="BM90" s="353">
        <f t="shared" ref="BM90:BM91" si="447">BL90</f>
        <v>20000</v>
      </c>
      <c r="BN90" s="353">
        <f t="shared" ref="BN90:BN91" si="448">BM90</f>
        <v>20000</v>
      </c>
      <c r="BO90" s="353">
        <f t="shared" ref="BO90:BO91" si="449">BN90</f>
        <v>20000</v>
      </c>
      <c r="BP90" s="341">
        <f t="shared" ref="BP90:BP92" si="450">SUM(BD90:BO90)</f>
        <v>240000</v>
      </c>
      <c r="BQ90" s="341">
        <f t="shared" ref="BQ90:BQ92" si="451">P90+AC90+AP90+BC90+BP90</f>
        <v>840000</v>
      </c>
    </row>
    <row r="91" spans="1:69" ht="13.5" customHeight="1">
      <c r="A91" s="68"/>
      <c r="B91" s="353" t="s">
        <v>115</v>
      </c>
      <c r="C91" s="353"/>
      <c r="D91" s="353">
        <v>0</v>
      </c>
      <c r="E91" s="353">
        <f t="shared" ref="E91:H91" si="452">D91</f>
        <v>0</v>
      </c>
      <c r="F91" s="353">
        <f t="shared" si="452"/>
        <v>0</v>
      </c>
      <c r="G91" s="353">
        <f t="shared" si="452"/>
        <v>0</v>
      </c>
      <c r="H91" s="353">
        <f t="shared" si="452"/>
        <v>0</v>
      </c>
      <c r="I91" s="353">
        <v>0</v>
      </c>
      <c r="J91" s="353">
        <f t="shared" ref="J91:O91" si="453">I91</f>
        <v>0</v>
      </c>
      <c r="K91" s="353">
        <f t="shared" si="453"/>
        <v>0</v>
      </c>
      <c r="L91" s="353">
        <f t="shared" si="453"/>
        <v>0</v>
      </c>
      <c r="M91" s="353">
        <f t="shared" si="453"/>
        <v>0</v>
      </c>
      <c r="N91" s="353">
        <f t="shared" si="453"/>
        <v>0</v>
      </c>
      <c r="O91" s="353">
        <f t="shared" si="453"/>
        <v>0</v>
      </c>
      <c r="P91" s="341">
        <f t="shared" si="434"/>
        <v>0</v>
      </c>
      <c r="Q91" s="353">
        <v>4000</v>
      </c>
      <c r="R91" s="353">
        <f t="shared" ref="R91" si="454">Q91</f>
        <v>4000</v>
      </c>
      <c r="S91" s="353">
        <f t="shared" si="435"/>
        <v>4000</v>
      </c>
      <c r="T91" s="353">
        <f t="shared" si="435"/>
        <v>4000</v>
      </c>
      <c r="U91" s="353">
        <f t="shared" si="435"/>
        <v>4000</v>
      </c>
      <c r="V91" s="353">
        <f t="shared" si="435"/>
        <v>4000</v>
      </c>
      <c r="W91" s="353">
        <f t="shared" si="435"/>
        <v>4000</v>
      </c>
      <c r="X91" s="353">
        <f t="shared" si="435"/>
        <v>4000</v>
      </c>
      <c r="Y91" s="353">
        <f t="shared" si="435"/>
        <v>4000</v>
      </c>
      <c r="Z91" s="353">
        <f t="shared" si="435"/>
        <v>4000</v>
      </c>
      <c r="AA91" s="353">
        <f t="shared" si="435"/>
        <v>4000</v>
      </c>
      <c r="AB91" s="353">
        <f t="shared" si="435"/>
        <v>4000</v>
      </c>
      <c r="AC91" s="341">
        <f t="shared" si="436"/>
        <v>48000</v>
      </c>
      <c r="AD91" s="353">
        <v>6500</v>
      </c>
      <c r="AE91" s="353">
        <f t="shared" ref="AE91" si="455">AD91</f>
        <v>6500</v>
      </c>
      <c r="AF91" s="353">
        <f t="shared" si="437"/>
        <v>6500</v>
      </c>
      <c r="AG91" s="353">
        <f t="shared" si="437"/>
        <v>6500</v>
      </c>
      <c r="AH91" s="353">
        <f t="shared" si="437"/>
        <v>6500</v>
      </c>
      <c r="AI91" s="353">
        <f t="shared" si="437"/>
        <v>6500</v>
      </c>
      <c r="AJ91" s="353">
        <f t="shared" si="437"/>
        <v>6500</v>
      </c>
      <c r="AK91" s="353">
        <f t="shared" si="437"/>
        <v>6500</v>
      </c>
      <c r="AL91" s="353">
        <f t="shared" si="437"/>
        <v>6500</v>
      </c>
      <c r="AM91" s="353">
        <f t="shared" si="437"/>
        <v>6500</v>
      </c>
      <c r="AN91" s="353">
        <f t="shared" si="437"/>
        <v>6500</v>
      </c>
      <c r="AO91" s="353">
        <f t="shared" si="437"/>
        <v>6500</v>
      </c>
      <c r="AP91" s="341">
        <f t="shared" si="438"/>
        <v>78000</v>
      </c>
      <c r="AQ91" s="353">
        <v>10000</v>
      </c>
      <c r="AR91" s="353">
        <f t="shared" ref="AR91" si="456">AQ91</f>
        <v>10000</v>
      </c>
      <c r="AS91" s="353">
        <f t="shared" si="439"/>
        <v>10000</v>
      </c>
      <c r="AT91" s="353">
        <f t="shared" si="439"/>
        <v>10000</v>
      </c>
      <c r="AU91" s="353">
        <f t="shared" si="439"/>
        <v>10000</v>
      </c>
      <c r="AV91" s="353">
        <f t="shared" si="439"/>
        <v>10000</v>
      </c>
      <c r="AW91" s="353">
        <f t="shared" si="439"/>
        <v>10000</v>
      </c>
      <c r="AX91" s="353">
        <f t="shared" si="439"/>
        <v>10000</v>
      </c>
      <c r="AY91" s="353">
        <f t="shared" si="439"/>
        <v>10000</v>
      </c>
      <c r="AZ91" s="353">
        <f t="shared" si="439"/>
        <v>10000</v>
      </c>
      <c r="BA91" s="353">
        <f t="shared" si="439"/>
        <v>10000</v>
      </c>
      <c r="BB91" s="353">
        <f t="shared" si="439"/>
        <v>10000</v>
      </c>
      <c r="BC91" s="341">
        <f t="shared" si="440"/>
        <v>120000</v>
      </c>
      <c r="BD91" s="353">
        <f>BB91</f>
        <v>10000</v>
      </c>
      <c r="BE91" s="353">
        <f t="shared" ref="BE91:BH92" si="457">BD91</f>
        <v>10000</v>
      </c>
      <c r="BF91" s="353">
        <f t="shared" si="457"/>
        <v>10000</v>
      </c>
      <c r="BG91" s="353">
        <f t="shared" si="457"/>
        <v>10000</v>
      </c>
      <c r="BH91" s="353">
        <f t="shared" si="457"/>
        <v>10000</v>
      </c>
      <c r="BI91" s="353">
        <f t="shared" si="443"/>
        <v>10000</v>
      </c>
      <c r="BJ91" s="353">
        <f t="shared" si="444"/>
        <v>10000</v>
      </c>
      <c r="BK91" s="353">
        <f t="shared" si="445"/>
        <v>10000</v>
      </c>
      <c r="BL91" s="353">
        <f t="shared" si="446"/>
        <v>10000</v>
      </c>
      <c r="BM91" s="353">
        <f t="shared" si="447"/>
        <v>10000</v>
      </c>
      <c r="BN91" s="353">
        <f t="shared" si="448"/>
        <v>10000</v>
      </c>
      <c r="BO91" s="353">
        <f t="shared" si="449"/>
        <v>10000</v>
      </c>
      <c r="BP91" s="341">
        <f t="shared" si="450"/>
        <v>120000</v>
      </c>
      <c r="BQ91" s="341">
        <f t="shared" si="451"/>
        <v>366000</v>
      </c>
    </row>
    <row r="92" spans="1:69" ht="13.5" customHeight="1">
      <c r="A92" s="68"/>
      <c r="B92" s="384" t="s">
        <v>116</v>
      </c>
      <c r="C92" s="389"/>
      <c r="D92" s="353">
        <v>0</v>
      </c>
      <c r="E92" s="353">
        <f t="shared" ref="E92:F92" si="458">D92</f>
        <v>0</v>
      </c>
      <c r="F92" s="353">
        <f t="shared" si="458"/>
        <v>0</v>
      </c>
      <c r="G92" s="353">
        <f t="shared" ref="G92:H92" si="459">F92</f>
        <v>0</v>
      </c>
      <c r="H92" s="353">
        <f t="shared" si="459"/>
        <v>0</v>
      </c>
      <c r="I92" s="353">
        <f>H92</f>
        <v>0</v>
      </c>
      <c r="J92" s="353">
        <v>7000</v>
      </c>
      <c r="K92" s="353">
        <f t="shared" ref="K92:M92" si="460">J92</f>
        <v>7000</v>
      </c>
      <c r="L92" s="353">
        <f t="shared" si="460"/>
        <v>7000</v>
      </c>
      <c r="M92" s="353">
        <f t="shared" si="460"/>
        <v>7000</v>
      </c>
      <c r="N92" s="353">
        <f>M92</f>
        <v>7000</v>
      </c>
      <c r="O92" s="353">
        <f>N92</f>
        <v>7000</v>
      </c>
      <c r="P92" s="341">
        <f t="shared" si="434"/>
        <v>42000</v>
      </c>
      <c r="Q92" s="353">
        <v>15000</v>
      </c>
      <c r="R92" s="353">
        <f t="shared" ref="R92" si="461">Q92</f>
        <v>15000</v>
      </c>
      <c r="S92" s="353">
        <f t="shared" si="435"/>
        <v>15000</v>
      </c>
      <c r="T92" s="353">
        <f t="shared" si="435"/>
        <v>15000</v>
      </c>
      <c r="U92" s="353">
        <f t="shared" si="435"/>
        <v>15000</v>
      </c>
      <c r="V92" s="353">
        <f t="shared" si="435"/>
        <v>15000</v>
      </c>
      <c r="W92" s="353">
        <f t="shared" si="435"/>
        <v>15000</v>
      </c>
      <c r="X92" s="353">
        <f t="shared" si="435"/>
        <v>15000</v>
      </c>
      <c r="Y92" s="353">
        <f t="shared" si="435"/>
        <v>15000</v>
      </c>
      <c r="Z92" s="353">
        <f t="shared" si="435"/>
        <v>15000</v>
      </c>
      <c r="AA92" s="353">
        <f t="shared" si="435"/>
        <v>15000</v>
      </c>
      <c r="AB92" s="353">
        <f t="shared" si="435"/>
        <v>15000</v>
      </c>
      <c r="AC92" s="341">
        <f t="shared" si="436"/>
        <v>180000</v>
      </c>
      <c r="AD92" s="353">
        <v>20000</v>
      </c>
      <c r="AE92" s="353">
        <f t="shared" ref="AE92" si="462">AD92</f>
        <v>20000</v>
      </c>
      <c r="AF92" s="353">
        <f t="shared" si="437"/>
        <v>20000</v>
      </c>
      <c r="AG92" s="353">
        <f t="shared" si="437"/>
        <v>20000</v>
      </c>
      <c r="AH92" s="353">
        <f t="shared" si="437"/>
        <v>20000</v>
      </c>
      <c r="AI92" s="353">
        <f t="shared" si="437"/>
        <v>20000</v>
      </c>
      <c r="AJ92" s="353">
        <f t="shared" si="437"/>
        <v>20000</v>
      </c>
      <c r="AK92" s="353">
        <f t="shared" si="437"/>
        <v>20000</v>
      </c>
      <c r="AL92" s="353">
        <f t="shared" si="437"/>
        <v>20000</v>
      </c>
      <c r="AM92" s="353">
        <f t="shared" si="437"/>
        <v>20000</v>
      </c>
      <c r="AN92" s="353">
        <f t="shared" si="437"/>
        <v>20000</v>
      </c>
      <c r="AO92" s="353">
        <f t="shared" si="437"/>
        <v>20000</v>
      </c>
      <c r="AP92" s="341">
        <f t="shared" si="438"/>
        <v>240000</v>
      </c>
      <c r="AQ92" s="353">
        <v>25000</v>
      </c>
      <c r="AR92" s="353">
        <f t="shared" ref="AR92" si="463">AQ92</f>
        <v>25000</v>
      </c>
      <c r="AS92" s="353">
        <f t="shared" si="439"/>
        <v>25000</v>
      </c>
      <c r="AT92" s="353">
        <f t="shared" si="439"/>
        <v>25000</v>
      </c>
      <c r="AU92" s="353">
        <f t="shared" si="439"/>
        <v>25000</v>
      </c>
      <c r="AV92" s="353">
        <f t="shared" si="439"/>
        <v>25000</v>
      </c>
      <c r="AW92" s="353">
        <f t="shared" si="439"/>
        <v>25000</v>
      </c>
      <c r="AX92" s="353">
        <f t="shared" si="439"/>
        <v>25000</v>
      </c>
      <c r="AY92" s="353">
        <f t="shared" si="439"/>
        <v>25000</v>
      </c>
      <c r="AZ92" s="353">
        <f t="shared" si="439"/>
        <v>25000</v>
      </c>
      <c r="BA92" s="353">
        <f t="shared" si="439"/>
        <v>25000</v>
      </c>
      <c r="BB92" s="353">
        <f t="shared" si="439"/>
        <v>25000</v>
      </c>
      <c r="BC92" s="341">
        <f t="shared" si="440"/>
        <v>300000</v>
      </c>
      <c r="BD92" s="353">
        <v>30000</v>
      </c>
      <c r="BE92" s="353">
        <f t="shared" ref="BE92" si="464">BD92</f>
        <v>30000</v>
      </c>
      <c r="BF92" s="353">
        <f t="shared" si="457"/>
        <v>30000</v>
      </c>
      <c r="BG92" s="353">
        <f t="shared" si="457"/>
        <v>30000</v>
      </c>
      <c r="BH92" s="353">
        <f t="shared" si="457"/>
        <v>30000</v>
      </c>
      <c r="BI92" s="353">
        <f t="shared" ref="BI92" si="465">BH92</f>
        <v>30000</v>
      </c>
      <c r="BJ92" s="353">
        <f t="shared" ref="BJ92:BO92" si="466">BI92</f>
        <v>30000</v>
      </c>
      <c r="BK92" s="353">
        <f t="shared" si="466"/>
        <v>30000</v>
      </c>
      <c r="BL92" s="353">
        <f t="shared" si="466"/>
        <v>30000</v>
      </c>
      <c r="BM92" s="353">
        <f t="shared" si="466"/>
        <v>30000</v>
      </c>
      <c r="BN92" s="353">
        <f t="shared" si="466"/>
        <v>30000</v>
      </c>
      <c r="BO92" s="353">
        <f t="shared" si="466"/>
        <v>30000</v>
      </c>
      <c r="BP92" s="341">
        <f t="shared" si="450"/>
        <v>360000</v>
      </c>
      <c r="BQ92" s="341">
        <f t="shared" si="451"/>
        <v>1122000</v>
      </c>
    </row>
    <row r="93" spans="1:69" ht="13.5" customHeight="1">
      <c r="A93" s="40"/>
      <c r="B93" s="382" t="s">
        <v>117</v>
      </c>
      <c r="C93" s="382"/>
      <c r="D93" s="363">
        <f t="shared" ref="D93:BQ93" si="467">SUM(D90:D92)</f>
        <v>22000</v>
      </c>
      <c r="E93" s="363">
        <f t="shared" si="467"/>
        <v>5000</v>
      </c>
      <c r="F93" s="363">
        <f t="shared" si="467"/>
        <v>13000</v>
      </c>
      <c r="G93" s="363">
        <f t="shared" si="467"/>
        <v>4000</v>
      </c>
      <c r="H93" s="363">
        <f t="shared" si="467"/>
        <v>2000</v>
      </c>
      <c r="I93" s="363">
        <f t="shared" si="467"/>
        <v>2000</v>
      </c>
      <c r="J93" s="363">
        <f t="shared" si="467"/>
        <v>9000</v>
      </c>
      <c r="K93" s="363">
        <f t="shared" si="467"/>
        <v>9000</v>
      </c>
      <c r="L93" s="363">
        <f t="shared" si="467"/>
        <v>9000</v>
      </c>
      <c r="M93" s="363">
        <f t="shared" si="467"/>
        <v>9000</v>
      </c>
      <c r="N93" s="363">
        <f t="shared" si="467"/>
        <v>9000</v>
      </c>
      <c r="O93" s="363">
        <f t="shared" si="467"/>
        <v>9000</v>
      </c>
      <c r="P93" s="356">
        <f t="shared" si="467"/>
        <v>102000</v>
      </c>
      <c r="Q93" s="363">
        <f t="shared" si="467"/>
        <v>29000</v>
      </c>
      <c r="R93" s="363">
        <f t="shared" si="467"/>
        <v>29000</v>
      </c>
      <c r="S93" s="363">
        <f t="shared" si="467"/>
        <v>29000</v>
      </c>
      <c r="T93" s="363">
        <f t="shared" si="467"/>
        <v>29000</v>
      </c>
      <c r="U93" s="363">
        <f t="shared" si="467"/>
        <v>29000</v>
      </c>
      <c r="V93" s="363">
        <f t="shared" si="467"/>
        <v>29000</v>
      </c>
      <c r="W93" s="363">
        <f t="shared" si="467"/>
        <v>29000</v>
      </c>
      <c r="X93" s="363">
        <f t="shared" si="467"/>
        <v>29000</v>
      </c>
      <c r="Y93" s="363">
        <f t="shared" si="467"/>
        <v>29000</v>
      </c>
      <c r="Z93" s="363">
        <f t="shared" si="467"/>
        <v>29000</v>
      </c>
      <c r="AA93" s="363">
        <f t="shared" si="467"/>
        <v>29000</v>
      </c>
      <c r="AB93" s="363">
        <f t="shared" si="467"/>
        <v>29000</v>
      </c>
      <c r="AC93" s="356">
        <f t="shared" si="467"/>
        <v>348000</v>
      </c>
      <c r="AD93" s="363">
        <f t="shared" si="467"/>
        <v>41500</v>
      </c>
      <c r="AE93" s="363">
        <f t="shared" si="467"/>
        <v>41500</v>
      </c>
      <c r="AF93" s="363">
        <f t="shared" si="467"/>
        <v>41500</v>
      </c>
      <c r="AG93" s="363">
        <f t="shared" si="467"/>
        <v>41500</v>
      </c>
      <c r="AH93" s="363">
        <f t="shared" si="467"/>
        <v>41500</v>
      </c>
      <c r="AI93" s="363">
        <f t="shared" si="467"/>
        <v>41500</v>
      </c>
      <c r="AJ93" s="363">
        <f t="shared" si="467"/>
        <v>41500</v>
      </c>
      <c r="AK93" s="363">
        <f t="shared" si="467"/>
        <v>41500</v>
      </c>
      <c r="AL93" s="363">
        <f t="shared" si="467"/>
        <v>41500</v>
      </c>
      <c r="AM93" s="363">
        <f t="shared" si="467"/>
        <v>41500</v>
      </c>
      <c r="AN93" s="363">
        <f t="shared" si="467"/>
        <v>41500</v>
      </c>
      <c r="AO93" s="363">
        <f t="shared" si="467"/>
        <v>41500</v>
      </c>
      <c r="AP93" s="356">
        <f t="shared" si="467"/>
        <v>498000</v>
      </c>
      <c r="AQ93" s="355">
        <f t="shared" si="467"/>
        <v>55000</v>
      </c>
      <c r="AR93" s="355">
        <f t="shared" si="467"/>
        <v>55000</v>
      </c>
      <c r="AS93" s="355">
        <f t="shared" si="467"/>
        <v>55000</v>
      </c>
      <c r="AT93" s="355">
        <f t="shared" si="467"/>
        <v>55000</v>
      </c>
      <c r="AU93" s="355">
        <f t="shared" si="467"/>
        <v>55000</v>
      </c>
      <c r="AV93" s="355">
        <f t="shared" si="467"/>
        <v>55000</v>
      </c>
      <c r="AW93" s="355">
        <f t="shared" si="467"/>
        <v>55000</v>
      </c>
      <c r="AX93" s="355">
        <f t="shared" si="467"/>
        <v>55000</v>
      </c>
      <c r="AY93" s="355">
        <f t="shared" si="467"/>
        <v>55000</v>
      </c>
      <c r="AZ93" s="355">
        <f t="shared" si="467"/>
        <v>55000</v>
      </c>
      <c r="BA93" s="355">
        <f t="shared" si="467"/>
        <v>55000</v>
      </c>
      <c r="BB93" s="355">
        <f t="shared" si="467"/>
        <v>55000</v>
      </c>
      <c r="BC93" s="356">
        <f t="shared" si="467"/>
        <v>660000</v>
      </c>
      <c r="BD93" s="355">
        <f t="shared" si="467"/>
        <v>60000</v>
      </c>
      <c r="BE93" s="355">
        <f t="shared" si="467"/>
        <v>60000</v>
      </c>
      <c r="BF93" s="355">
        <f t="shared" si="467"/>
        <v>60000</v>
      </c>
      <c r="BG93" s="355">
        <f t="shared" si="467"/>
        <v>60000</v>
      </c>
      <c r="BH93" s="355">
        <f t="shared" si="467"/>
        <v>60000</v>
      </c>
      <c r="BI93" s="355">
        <f t="shared" si="467"/>
        <v>60000</v>
      </c>
      <c r="BJ93" s="355">
        <f t="shared" si="467"/>
        <v>60000</v>
      </c>
      <c r="BK93" s="355">
        <f t="shared" si="467"/>
        <v>60000</v>
      </c>
      <c r="BL93" s="355">
        <f t="shared" si="467"/>
        <v>60000</v>
      </c>
      <c r="BM93" s="355">
        <f t="shared" si="467"/>
        <v>60000</v>
      </c>
      <c r="BN93" s="355">
        <f t="shared" si="467"/>
        <v>60000</v>
      </c>
      <c r="BO93" s="355">
        <f t="shared" si="467"/>
        <v>60000</v>
      </c>
      <c r="BP93" s="356">
        <f t="shared" si="467"/>
        <v>720000</v>
      </c>
      <c r="BQ93" s="356">
        <f t="shared" si="467"/>
        <v>2328000</v>
      </c>
    </row>
    <row r="94" spans="1:69" ht="13.5" customHeight="1">
      <c r="A94" s="40"/>
      <c r="B94" s="382"/>
      <c r="C94" s="382"/>
      <c r="D94" s="363"/>
      <c r="E94" s="363"/>
      <c r="F94" s="363"/>
      <c r="G94" s="363"/>
      <c r="H94" s="363"/>
      <c r="I94" s="363"/>
      <c r="J94" s="363"/>
      <c r="K94" s="363"/>
      <c r="L94" s="363"/>
      <c r="M94" s="363"/>
      <c r="N94" s="363"/>
      <c r="O94" s="363"/>
      <c r="P94" s="356"/>
      <c r="Q94" s="363"/>
      <c r="R94" s="363"/>
      <c r="S94" s="363"/>
      <c r="T94" s="363"/>
      <c r="U94" s="363"/>
      <c r="V94" s="363"/>
      <c r="W94" s="363"/>
      <c r="X94" s="363"/>
      <c r="Y94" s="363"/>
      <c r="Z94" s="363"/>
      <c r="AA94" s="363"/>
      <c r="AB94" s="363"/>
      <c r="AC94" s="356"/>
      <c r="AD94" s="363"/>
      <c r="AE94" s="363"/>
      <c r="AF94" s="363"/>
      <c r="AG94" s="363"/>
      <c r="AH94" s="363"/>
      <c r="AI94" s="363"/>
      <c r="AJ94" s="363"/>
      <c r="AK94" s="363"/>
      <c r="AL94" s="363"/>
      <c r="AM94" s="363"/>
      <c r="AN94" s="363"/>
      <c r="AO94" s="363"/>
      <c r="AP94" s="356"/>
      <c r="AQ94" s="365"/>
      <c r="AR94" s="365"/>
      <c r="AS94" s="365"/>
      <c r="AT94" s="365"/>
      <c r="AU94" s="365"/>
      <c r="AV94" s="365"/>
      <c r="AW94" s="365"/>
      <c r="AX94" s="365"/>
      <c r="AY94" s="365"/>
      <c r="AZ94" s="365"/>
      <c r="BA94" s="365"/>
      <c r="BB94" s="365"/>
      <c r="BC94" s="356"/>
      <c r="BD94" s="365"/>
      <c r="BE94" s="365"/>
      <c r="BF94" s="365"/>
      <c r="BG94" s="365"/>
      <c r="BH94" s="365"/>
      <c r="BI94" s="365"/>
      <c r="BJ94" s="365"/>
      <c r="BK94" s="365"/>
      <c r="BL94" s="365"/>
      <c r="BM94" s="365"/>
      <c r="BN94" s="365"/>
      <c r="BO94" s="365"/>
      <c r="BP94" s="356"/>
      <c r="BQ94" s="366"/>
    </row>
    <row r="95" spans="1:69" ht="13.5" customHeight="1">
      <c r="A95" s="439" t="s">
        <v>716</v>
      </c>
      <c r="B95" s="380"/>
      <c r="C95" s="380"/>
      <c r="D95" s="349"/>
      <c r="E95" s="349"/>
      <c r="F95" s="349"/>
      <c r="G95" s="349"/>
      <c r="H95" s="349"/>
      <c r="I95" s="349"/>
      <c r="J95" s="349"/>
      <c r="K95" s="349"/>
      <c r="L95" s="349"/>
      <c r="M95" s="349"/>
      <c r="N95" s="349"/>
      <c r="O95" s="349"/>
      <c r="P95" s="350"/>
      <c r="Q95" s="349"/>
      <c r="R95" s="349"/>
      <c r="S95" s="349"/>
      <c r="T95" s="349"/>
      <c r="U95" s="349"/>
      <c r="V95" s="349"/>
      <c r="W95" s="349"/>
      <c r="X95" s="349"/>
      <c r="Y95" s="349"/>
      <c r="Z95" s="349"/>
      <c r="AA95" s="349"/>
      <c r="AB95" s="349"/>
      <c r="AC95" s="350"/>
      <c r="AD95" s="349"/>
      <c r="AE95" s="349"/>
      <c r="AF95" s="349"/>
      <c r="AG95" s="349"/>
      <c r="AH95" s="349"/>
      <c r="AI95" s="349"/>
      <c r="AJ95" s="349"/>
      <c r="AK95" s="349"/>
      <c r="AL95" s="349"/>
      <c r="AM95" s="349"/>
      <c r="AN95" s="349"/>
      <c r="AO95" s="349"/>
      <c r="AP95" s="350"/>
      <c r="AQ95" s="351"/>
      <c r="AR95" s="351"/>
      <c r="AS95" s="351"/>
      <c r="AT95" s="351"/>
      <c r="AU95" s="351"/>
      <c r="AV95" s="351"/>
      <c r="AW95" s="351"/>
      <c r="AX95" s="351"/>
      <c r="AY95" s="351"/>
      <c r="AZ95" s="351"/>
      <c r="BA95" s="351"/>
      <c r="BB95" s="351"/>
      <c r="BC95" s="352"/>
      <c r="BD95" s="351"/>
      <c r="BE95" s="351"/>
      <c r="BF95" s="351"/>
      <c r="BG95" s="351"/>
      <c r="BH95" s="351"/>
      <c r="BI95" s="351"/>
      <c r="BJ95" s="351"/>
      <c r="BK95" s="351"/>
      <c r="BL95" s="351"/>
      <c r="BM95" s="351"/>
      <c r="BN95" s="351"/>
      <c r="BO95" s="351"/>
      <c r="BP95" s="352"/>
      <c r="BQ95" s="352"/>
    </row>
    <row r="96" spans="1:69" ht="13.5" hidden="1" customHeight="1">
      <c r="A96" s="440"/>
      <c r="B96" s="441"/>
      <c r="C96" s="441"/>
      <c r="D96" s="443">
        <f>D97</f>
        <v>0</v>
      </c>
      <c r="E96" s="443">
        <f>D96+E97</f>
        <v>0</v>
      </c>
      <c r="F96" s="443">
        <f t="shared" ref="F96:O96" si="468">E96+F97</f>
        <v>0</v>
      </c>
      <c r="G96" s="443">
        <f t="shared" si="468"/>
        <v>0</v>
      </c>
      <c r="H96" s="443">
        <f t="shared" si="468"/>
        <v>0</v>
      </c>
      <c r="I96" s="443">
        <f t="shared" si="468"/>
        <v>0</v>
      </c>
      <c r="J96" s="443">
        <f t="shared" si="468"/>
        <v>0</v>
      </c>
      <c r="K96" s="443">
        <f t="shared" si="468"/>
        <v>0</v>
      </c>
      <c r="L96" s="443">
        <f t="shared" si="468"/>
        <v>0</v>
      </c>
      <c r="M96" s="443">
        <f t="shared" si="468"/>
        <v>0</v>
      </c>
      <c r="N96" s="443">
        <f t="shared" si="468"/>
        <v>0</v>
      </c>
      <c r="O96" s="443">
        <f t="shared" si="468"/>
        <v>87480.76890000001</v>
      </c>
      <c r="P96" s="444">
        <f>O96</f>
        <v>87480.76890000001</v>
      </c>
      <c r="Q96" s="443">
        <f>O96+Q97</f>
        <v>87480.76890000001</v>
      </c>
      <c r="R96" s="443">
        <f>Q96+R97</f>
        <v>337985.20682500006</v>
      </c>
      <c r="S96" s="443">
        <f t="shared" ref="S96:AB96" si="469">R96+S97</f>
        <v>657490.60723500012</v>
      </c>
      <c r="T96" s="443">
        <f t="shared" si="469"/>
        <v>657490.60723500012</v>
      </c>
      <c r="U96" s="443">
        <f t="shared" si="469"/>
        <v>680496.12102500012</v>
      </c>
      <c r="V96" s="443">
        <f t="shared" si="469"/>
        <v>680496.12102500012</v>
      </c>
      <c r="W96" s="443">
        <f t="shared" si="469"/>
        <v>1014048.7748346669</v>
      </c>
      <c r="X96" s="443">
        <f t="shared" si="469"/>
        <v>1075350.6839728337</v>
      </c>
      <c r="Y96" s="443">
        <f t="shared" si="469"/>
        <v>1075350.6839728337</v>
      </c>
      <c r="Z96" s="443">
        <f t="shared" si="469"/>
        <v>1460718.9826773489</v>
      </c>
      <c r="AA96" s="443">
        <f t="shared" si="469"/>
        <v>1602178.7274093155</v>
      </c>
      <c r="AB96" s="443">
        <f t="shared" si="469"/>
        <v>1602178.7274093155</v>
      </c>
      <c r="AC96" s="444">
        <f>AB96</f>
        <v>1602178.7274093155</v>
      </c>
      <c r="AD96" s="443">
        <f>AB96+AD97</f>
        <v>1602178.7274093155</v>
      </c>
      <c r="AE96" s="443">
        <f>AD96+AE97</f>
        <v>1669551.3583902202</v>
      </c>
      <c r="AF96" s="443">
        <f t="shared" ref="AF96" si="470">AE96+AF97</f>
        <v>1730611.2798668821</v>
      </c>
      <c r="AG96" s="443">
        <f t="shared" ref="AG96" si="471">AF96+AG97</f>
        <v>1827956.4932478769</v>
      </c>
      <c r="AH96" s="443">
        <f t="shared" ref="AH96" si="472">AG96+AH97</f>
        <v>1850270.6745245878</v>
      </c>
      <c r="AI96" s="443">
        <f t="shared" ref="AI96" si="473">AH96+AI97</f>
        <v>1900000</v>
      </c>
      <c r="AJ96" s="443">
        <f t="shared" ref="AJ96" si="474">AI96+AJ97</f>
        <v>1900000</v>
      </c>
      <c r="AK96" s="443">
        <f t="shared" ref="AK96" si="475">AJ96+AK97</f>
        <v>1900000</v>
      </c>
      <c r="AL96" s="443">
        <f t="shared" ref="AL96" si="476">AK96+AL97</f>
        <v>1900000</v>
      </c>
      <c r="AM96" s="443">
        <f t="shared" ref="AM96" si="477">AL96+AM97</f>
        <v>1900000</v>
      </c>
      <c r="AN96" s="443">
        <f t="shared" ref="AN96" si="478">AM96+AN97</f>
        <v>1900000</v>
      </c>
      <c r="AO96" s="443">
        <f t="shared" ref="AO96" si="479">AN96+AO97</f>
        <v>1900000</v>
      </c>
      <c r="AP96" s="444">
        <f>AO96</f>
        <v>1900000</v>
      </c>
      <c r="AQ96" s="443">
        <f>AO96+AQ97</f>
        <v>1900000</v>
      </c>
      <c r="AR96" s="443">
        <f>AQ96+AR97</f>
        <v>1900000</v>
      </c>
      <c r="AS96" s="443">
        <f t="shared" ref="AS96" si="480">AR96+AS97</f>
        <v>1900000</v>
      </c>
      <c r="AT96" s="443">
        <f t="shared" ref="AT96" si="481">AS96+AT97</f>
        <v>1900000</v>
      </c>
      <c r="AU96" s="443">
        <f t="shared" ref="AU96" si="482">AT96+AU97</f>
        <v>1900000</v>
      </c>
      <c r="AV96" s="443">
        <f t="shared" ref="AV96" si="483">AU96+AV97</f>
        <v>1900000</v>
      </c>
      <c r="AW96" s="443">
        <f t="shared" ref="AW96" si="484">AV96+AW97</f>
        <v>1900000</v>
      </c>
      <c r="AX96" s="443">
        <f t="shared" ref="AX96" si="485">AW96+AX97</f>
        <v>1900000</v>
      </c>
      <c r="AY96" s="443">
        <f t="shared" ref="AY96" si="486">AX96+AY97</f>
        <v>1900000</v>
      </c>
      <c r="AZ96" s="443">
        <f t="shared" ref="AZ96" si="487">AY96+AZ97</f>
        <v>1900000</v>
      </c>
      <c r="BA96" s="443">
        <f t="shared" ref="BA96" si="488">AZ96+BA97</f>
        <v>1900000</v>
      </c>
      <c r="BB96" s="443">
        <f t="shared" ref="BB96" si="489">BA96+BB97</f>
        <v>1900000</v>
      </c>
      <c r="BC96" s="445">
        <f>BB96</f>
        <v>1900000</v>
      </c>
      <c r="BD96" s="443">
        <f>BB96+BD97</f>
        <v>1900000</v>
      </c>
      <c r="BE96" s="443">
        <f>BD96+BE97</f>
        <v>1900000</v>
      </c>
      <c r="BF96" s="443">
        <f t="shared" ref="BF96" si="490">BE96+BF97</f>
        <v>1900000</v>
      </c>
      <c r="BG96" s="443">
        <f t="shared" ref="BG96" si="491">BF96+BG97</f>
        <v>1900000</v>
      </c>
      <c r="BH96" s="443">
        <f t="shared" ref="BH96" si="492">BG96+BH97</f>
        <v>1900000</v>
      </c>
      <c r="BI96" s="443">
        <f t="shared" ref="BI96" si="493">BH96+BI97</f>
        <v>1900000</v>
      </c>
      <c r="BJ96" s="443">
        <f t="shared" ref="BJ96" si="494">BI96+BJ97</f>
        <v>1900000</v>
      </c>
      <c r="BK96" s="443">
        <f t="shared" ref="BK96" si="495">BJ96+BK97</f>
        <v>1900000</v>
      </c>
      <c r="BL96" s="443">
        <f t="shared" ref="BL96" si="496">BK96+BL97</f>
        <v>1900000</v>
      </c>
      <c r="BM96" s="443">
        <f t="shared" ref="BM96" si="497">BL96+BM97</f>
        <v>1900000</v>
      </c>
      <c r="BN96" s="443">
        <f t="shared" ref="BN96" si="498">BM96+BN97</f>
        <v>1900000</v>
      </c>
      <c r="BO96" s="443">
        <f t="shared" ref="BO96" si="499">BN96+BO97</f>
        <v>1900000</v>
      </c>
      <c r="BP96" s="442"/>
      <c r="BQ96" s="442"/>
    </row>
    <row r="97" spans="1:69" ht="13.5" customHeight="1">
      <c r="A97" s="4"/>
      <c r="B97" s="377" t="s">
        <v>717</v>
      </c>
      <c r="C97" s="377"/>
      <c r="D97" s="353">
        <f t="shared" ref="D97:J97" si="500">IF(D57=0,0,IF(D61&lt;0,0,IF((C96+(D61*0.07))&gt;=1900000,(1900000-C96),(D61*0.07))))</f>
        <v>0</v>
      </c>
      <c r="E97" s="353">
        <f t="shared" si="500"/>
        <v>0</v>
      </c>
      <c r="F97" s="353">
        <f t="shared" si="500"/>
        <v>0</v>
      </c>
      <c r="G97" s="353">
        <f t="shared" si="500"/>
        <v>0</v>
      </c>
      <c r="H97" s="353">
        <f t="shared" si="500"/>
        <v>0</v>
      </c>
      <c r="I97" s="353">
        <f t="shared" si="500"/>
        <v>0</v>
      </c>
      <c r="J97" s="353">
        <f t="shared" si="500"/>
        <v>0</v>
      </c>
      <c r="K97" s="353">
        <f>IF(K57=0,0,IF(K61&lt;0,0,IF((J96+(K61*0.07))&gt;=1900000,(1900000-J96),(K61*0.07))))</f>
        <v>0</v>
      </c>
      <c r="L97" s="353">
        <f t="shared" ref="L97:O97" si="501">IF(L57=0,0,IF(L61&lt;0,0,IF((K96+(L61*0.07))&gt;=1900000,(1900000-K96),(L61*0.07))))</f>
        <v>0</v>
      </c>
      <c r="M97" s="353">
        <f t="shared" si="501"/>
        <v>0</v>
      </c>
      <c r="N97" s="353">
        <f t="shared" si="501"/>
        <v>0</v>
      </c>
      <c r="O97" s="353">
        <f t="shared" si="501"/>
        <v>87480.76890000001</v>
      </c>
      <c r="P97" s="341">
        <f t="shared" ref="P97:P98" si="502">SUM(D97:O97)</f>
        <v>87480.76890000001</v>
      </c>
      <c r="Q97" s="353">
        <f t="shared" ref="Q97:W97" si="503">IF(Q57=0,0,IF(Q61&lt;0,0,IF((P96+(Q61*0.07))&gt;=1900000,(1900000-P96),(Q61*0.07))))</f>
        <v>0</v>
      </c>
      <c r="R97" s="353">
        <f t="shared" si="503"/>
        <v>250504.43792500006</v>
      </c>
      <c r="S97" s="353">
        <f t="shared" si="503"/>
        <v>319505.40041000006</v>
      </c>
      <c r="T97" s="353">
        <f t="shared" si="503"/>
        <v>0</v>
      </c>
      <c r="U97" s="353">
        <f t="shared" si="503"/>
        <v>23005.513790000005</v>
      </c>
      <c r="V97" s="353">
        <f t="shared" si="503"/>
        <v>0</v>
      </c>
      <c r="W97" s="353">
        <f t="shared" si="503"/>
        <v>333552.65380966675</v>
      </c>
      <c r="X97" s="353">
        <f>IF(X57=0,0,IF(X61&lt;0,0,IF((W96+(X61*0.07))&gt;=1900000,(1900000-W96),(X61*0.07))))</f>
        <v>61301.909138166717</v>
      </c>
      <c r="Y97" s="353">
        <f t="shared" ref="Y97:AB97" si="504">IF(Y57=0,0,IF(Y61&lt;0,0,IF((X96+(Y61*0.07))&gt;=1900000,(1900000-X96),(Y61*0.07))))</f>
        <v>0</v>
      </c>
      <c r="Z97" s="353">
        <f t="shared" si="504"/>
        <v>385368.29870451509</v>
      </c>
      <c r="AA97" s="353">
        <f t="shared" si="504"/>
        <v>141459.74473196655</v>
      </c>
      <c r="AB97" s="353">
        <f t="shared" si="504"/>
        <v>0</v>
      </c>
      <c r="AC97" s="341">
        <f t="shared" ref="AC97:AC98" si="505">SUM(Q97:AB97)</f>
        <v>1514697.9585093153</v>
      </c>
      <c r="AD97" s="353">
        <f t="shared" ref="AD97:AJ97" si="506">IF(AD57=0,0,IF(AD61&lt;0,0,IF((AC96+(AD61*0.07))&gt;=1900000,(1900000-AC96),(AD61*0.07))))</f>
        <v>0</v>
      </c>
      <c r="AE97" s="353">
        <f t="shared" si="506"/>
        <v>67372.630980904753</v>
      </c>
      <c r="AF97" s="353">
        <f t="shared" si="506"/>
        <v>61059.921476661868</v>
      </c>
      <c r="AG97" s="353">
        <f t="shared" si="506"/>
        <v>97345.21338099477</v>
      </c>
      <c r="AH97" s="353">
        <f t="shared" si="506"/>
        <v>22314.181276710875</v>
      </c>
      <c r="AI97" s="353">
        <f t="shared" si="506"/>
        <v>49729.325475412188</v>
      </c>
      <c r="AJ97" s="353">
        <f t="shared" si="506"/>
        <v>0</v>
      </c>
      <c r="AK97" s="353">
        <f>IF(AK57=0,0,IF(AK61&lt;0,0,IF((AJ96+(AK61*0.07))&gt;=1900000,(1900000-AJ96),(AK61*0.07))))</f>
        <v>0</v>
      </c>
      <c r="AL97" s="353">
        <f t="shared" ref="AL97:AO97" si="507">IF(AL57=0,0,IF(AL61&lt;0,0,IF((AK96+(AL61*0.07))&gt;=1900000,(1900000-AK96),(AL61*0.07))))</f>
        <v>0</v>
      </c>
      <c r="AM97" s="353">
        <f t="shared" si="507"/>
        <v>0</v>
      </c>
      <c r="AN97" s="353">
        <f t="shared" si="507"/>
        <v>0</v>
      </c>
      <c r="AO97" s="353">
        <f t="shared" si="507"/>
        <v>0</v>
      </c>
      <c r="AP97" s="341">
        <f t="shared" ref="AP97:AP98" si="508">SUM(AD97:AO97)</f>
        <v>297821.27259068447</v>
      </c>
      <c r="AQ97" s="353">
        <f t="shared" ref="AQ97:AW97" si="509">IF(AQ57=0,0,IF(AQ61&lt;0,0,IF((AP96+(AQ61*0.07))&gt;=1900000,(1900000-AP96),(AQ61*0.07))))</f>
        <v>0</v>
      </c>
      <c r="AR97" s="353">
        <f t="shared" si="509"/>
        <v>0</v>
      </c>
      <c r="AS97" s="353">
        <f t="shared" si="509"/>
        <v>0</v>
      </c>
      <c r="AT97" s="353">
        <f t="shared" si="509"/>
        <v>0</v>
      </c>
      <c r="AU97" s="353">
        <f t="shared" si="509"/>
        <v>0</v>
      </c>
      <c r="AV97" s="353">
        <f t="shared" si="509"/>
        <v>0</v>
      </c>
      <c r="AW97" s="353">
        <f t="shared" si="509"/>
        <v>0</v>
      </c>
      <c r="AX97" s="353">
        <f>IF(AX57=0,0,IF(AX61&lt;0,0,IF((AW96+(AX61*0.07))&gt;=1900000,(1900000-AW96),(AX61*0.07))))</f>
        <v>0</v>
      </c>
      <c r="AY97" s="353">
        <f t="shared" ref="AY97:BB97" si="510">IF(AY57=0,0,IF(AY61&lt;0,0,IF((AX96+(AY61*0.07))&gt;=1900000,(1900000-AX96),(AY61*0.07))))</f>
        <v>0</v>
      </c>
      <c r="AZ97" s="353">
        <f t="shared" si="510"/>
        <v>0</v>
      </c>
      <c r="BA97" s="353">
        <f t="shared" si="510"/>
        <v>0</v>
      </c>
      <c r="BB97" s="353">
        <f t="shared" si="510"/>
        <v>0</v>
      </c>
      <c r="BC97" s="341">
        <f t="shared" ref="BC97:BC98" si="511">SUM(AQ97:BB97)</f>
        <v>0</v>
      </c>
      <c r="BD97" s="353">
        <f t="shared" ref="BD97:BJ97" si="512">IF(BD57=0,0,IF(BD61&lt;0,0,IF((BC96+(BD61*0.07))&gt;=1900000,(1900000-BC96),(BD61*0.07))))</f>
        <v>0</v>
      </c>
      <c r="BE97" s="353">
        <f t="shared" si="512"/>
        <v>0</v>
      </c>
      <c r="BF97" s="353">
        <f t="shared" si="512"/>
        <v>0</v>
      </c>
      <c r="BG97" s="353">
        <f t="shared" si="512"/>
        <v>0</v>
      </c>
      <c r="BH97" s="353">
        <f t="shared" si="512"/>
        <v>0</v>
      </c>
      <c r="BI97" s="353">
        <f t="shared" si="512"/>
        <v>0</v>
      </c>
      <c r="BJ97" s="353">
        <f t="shared" si="512"/>
        <v>0</v>
      </c>
      <c r="BK97" s="353">
        <f>IF(BK57=0,0,IF(BK61&lt;0,0,IF((BJ96+(BK61*0.07))&gt;=1900000,(1900000-BJ96),(BK61*0.07))))</f>
        <v>0</v>
      </c>
      <c r="BL97" s="353">
        <f t="shared" ref="BL97:BO97" si="513">IF(BL57=0,0,IF(BL61&lt;0,0,IF((BK96+(BL61*0.07))&gt;=1900000,(1900000-BK96),(BL61*0.07))))</f>
        <v>0</v>
      </c>
      <c r="BM97" s="353">
        <f t="shared" si="513"/>
        <v>0</v>
      </c>
      <c r="BN97" s="353">
        <f t="shared" si="513"/>
        <v>0</v>
      </c>
      <c r="BO97" s="353">
        <f t="shared" si="513"/>
        <v>0</v>
      </c>
      <c r="BP97" s="341">
        <f t="shared" ref="BP97:BP98" si="514">SUM(BD97:BO97)</f>
        <v>0</v>
      </c>
      <c r="BQ97" s="341">
        <f t="shared" ref="BQ97:BQ98" si="515">P97+AC97+AP97+BC97+BP97</f>
        <v>1899999.9999999998</v>
      </c>
    </row>
    <row r="98" spans="1:69" ht="13.5" customHeight="1">
      <c r="A98" s="55"/>
      <c r="B98" s="207" t="s">
        <v>725</v>
      </c>
      <c r="C98" s="446">
        <v>1.4999999999999999E-2</v>
      </c>
      <c r="D98" s="353">
        <v>0</v>
      </c>
      <c r="E98" s="353">
        <v>0</v>
      </c>
      <c r="F98" s="353">
        <v>0</v>
      </c>
      <c r="G98" s="353">
        <v>0</v>
      </c>
      <c r="H98" s="353">
        <v>0</v>
      </c>
      <c r="I98" s="353">
        <v>0</v>
      </c>
      <c r="J98" s="353">
        <v>0</v>
      </c>
      <c r="K98" s="353">
        <v>0</v>
      </c>
      <c r="L98" s="353"/>
      <c r="M98" s="353">
        <f>(M7*$C$98)</f>
        <v>0</v>
      </c>
      <c r="N98" s="353">
        <v>0</v>
      </c>
      <c r="O98" s="353">
        <v>0</v>
      </c>
      <c r="P98" s="341">
        <f t="shared" si="502"/>
        <v>0</v>
      </c>
      <c r="Q98" s="353">
        <v>0</v>
      </c>
      <c r="R98" s="353">
        <v>0</v>
      </c>
      <c r="S98" s="353">
        <v>0</v>
      </c>
      <c r="T98" s="353">
        <v>0</v>
      </c>
      <c r="U98" s="353">
        <v>0</v>
      </c>
      <c r="V98" s="353">
        <v>0</v>
      </c>
      <c r="W98" s="353">
        <v>0</v>
      </c>
      <c r="X98" s="353">
        <v>0</v>
      </c>
      <c r="Y98" s="353">
        <v>0</v>
      </c>
      <c r="Z98" s="353">
        <v>0</v>
      </c>
      <c r="AA98" s="353">
        <v>0</v>
      </c>
      <c r="AB98" s="353">
        <v>0</v>
      </c>
      <c r="AC98" s="341">
        <f t="shared" si="505"/>
        <v>0</v>
      </c>
      <c r="AD98" s="353">
        <v>0</v>
      </c>
      <c r="AE98" s="353">
        <v>0</v>
      </c>
      <c r="AF98" s="353">
        <v>0</v>
      </c>
      <c r="AG98" s="353">
        <v>0</v>
      </c>
      <c r="AH98" s="353">
        <v>0</v>
      </c>
      <c r="AI98" s="353">
        <v>0</v>
      </c>
      <c r="AJ98" s="353">
        <v>0</v>
      </c>
      <c r="AK98" s="353">
        <v>0</v>
      </c>
      <c r="AL98" s="353">
        <v>0</v>
      </c>
      <c r="AM98" s="353">
        <v>0</v>
      </c>
      <c r="AN98" s="353">
        <v>0</v>
      </c>
      <c r="AO98" s="353">
        <v>0</v>
      </c>
      <c r="AP98" s="341">
        <f t="shared" si="508"/>
        <v>0</v>
      </c>
      <c r="AQ98" s="353">
        <v>0</v>
      </c>
      <c r="AR98" s="353">
        <v>0</v>
      </c>
      <c r="AS98" s="353">
        <v>0</v>
      </c>
      <c r="AT98" s="353">
        <v>0</v>
      </c>
      <c r="AU98" s="353">
        <v>0</v>
      </c>
      <c r="AV98" s="353">
        <v>0</v>
      </c>
      <c r="AW98" s="353">
        <v>0</v>
      </c>
      <c r="AX98" s="353">
        <v>0</v>
      </c>
      <c r="AY98" s="353">
        <v>0</v>
      </c>
      <c r="AZ98" s="353">
        <v>0</v>
      </c>
      <c r="BA98" s="353">
        <v>0</v>
      </c>
      <c r="BB98" s="353">
        <v>0</v>
      </c>
      <c r="BC98" s="341">
        <f t="shared" si="511"/>
        <v>0</v>
      </c>
      <c r="BD98" s="353">
        <v>0</v>
      </c>
      <c r="BE98" s="353">
        <v>0</v>
      </c>
      <c r="BF98" s="353">
        <v>0</v>
      </c>
      <c r="BG98" s="353">
        <v>0</v>
      </c>
      <c r="BH98" s="353">
        <v>0</v>
      </c>
      <c r="BI98" s="353">
        <v>0</v>
      </c>
      <c r="BJ98" s="353">
        <v>0</v>
      </c>
      <c r="BK98" s="353">
        <v>0</v>
      </c>
      <c r="BL98" s="353">
        <v>0</v>
      </c>
      <c r="BM98" s="353">
        <v>0</v>
      </c>
      <c r="BN98" s="353">
        <v>0</v>
      </c>
      <c r="BO98" s="353">
        <v>0</v>
      </c>
      <c r="BP98" s="341">
        <f t="shared" si="514"/>
        <v>0</v>
      </c>
      <c r="BQ98" s="341">
        <f t="shared" si="515"/>
        <v>0</v>
      </c>
    </row>
    <row r="99" spans="1:69" ht="13.5" customHeight="1">
      <c r="A99" s="57"/>
      <c r="B99" s="382" t="s">
        <v>92</v>
      </c>
      <c r="C99" s="382"/>
      <c r="D99" s="355">
        <f t="shared" ref="D99:AI99" si="516">SUM(D97:D98)</f>
        <v>0</v>
      </c>
      <c r="E99" s="355">
        <f t="shared" si="516"/>
        <v>0</v>
      </c>
      <c r="F99" s="355">
        <f t="shared" si="516"/>
        <v>0</v>
      </c>
      <c r="G99" s="355">
        <f t="shared" si="516"/>
        <v>0</v>
      </c>
      <c r="H99" s="355">
        <f t="shared" si="516"/>
        <v>0</v>
      </c>
      <c r="I99" s="355">
        <f t="shared" si="516"/>
        <v>0</v>
      </c>
      <c r="J99" s="355">
        <f t="shared" si="516"/>
        <v>0</v>
      </c>
      <c r="K99" s="355">
        <f t="shared" si="516"/>
        <v>0</v>
      </c>
      <c r="L99" s="355">
        <f t="shared" si="516"/>
        <v>0</v>
      </c>
      <c r="M99" s="355">
        <f t="shared" si="516"/>
        <v>0</v>
      </c>
      <c r="N99" s="355">
        <f t="shared" si="516"/>
        <v>0</v>
      </c>
      <c r="O99" s="355">
        <f t="shared" si="516"/>
        <v>87480.76890000001</v>
      </c>
      <c r="P99" s="356">
        <f t="shared" si="516"/>
        <v>87480.76890000001</v>
      </c>
      <c r="Q99" s="355">
        <f t="shared" si="516"/>
        <v>0</v>
      </c>
      <c r="R99" s="355">
        <f t="shared" si="516"/>
        <v>250504.43792500006</v>
      </c>
      <c r="S99" s="355">
        <f t="shared" si="516"/>
        <v>319505.40041000006</v>
      </c>
      <c r="T99" s="355">
        <f t="shared" si="516"/>
        <v>0</v>
      </c>
      <c r="U99" s="355">
        <f t="shared" si="516"/>
        <v>23005.513790000005</v>
      </c>
      <c r="V99" s="355">
        <f t="shared" si="516"/>
        <v>0</v>
      </c>
      <c r="W99" s="355">
        <f t="shared" si="516"/>
        <v>333552.65380966675</v>
      </c>
      <c r="X99" s="355">
        <f t="shared" si="516"/>
        <v>61301.909138166717</v>
      </c>
      <c r="Y99" s="355">
        <f t="shared" si="516"/>
        <v>0</v>
      </c>
      <c r="Z99" s="355">
        <f t="shared" si="516"/>
        <v>385368.29870451509</v>
      </c>
      <c r="AA99" s="355">
        <f t="shared" si="516"/>
        <v>141459.74473196655</v>
      </c>
      <c r="AB99" s="355">
        <f t="shared" si="516"/>
        <v>0</v>
      </c>
      <c r="AC99" s="356">
        <f t="shared" si="516"/>
        <v>1514697.9585093153</v>
      </c>
      <c r="AD99" s="355">
        <f t="shared" si="516"/>
        <v>0</v>
      </c>
      <c r="AE99" s="355">
        <f t="shared" si="516"/>
        <v>67372.630980904753</v>
      </c>
      <c r="AF99" s="355">
        <f t="shared" si="516"/>
        <v>61059.921476661868</v>
      </c>
      <c r="AG99" s="355">
        <f t="shared" si="516"/>
        <v>97345.21338099477</v>
      </c>
      <c r="AH99" s="355">
        <f t="shared" si="516"/>
        <v>22314.181276710875</v>
      </c>
      <c r="AI99" s="355">
        <f t="shared" si="516"/>
        <v>49729.325475412188</v>
      </c>
      <c r="AJ99" s="355">
        <f t="shared" ref="AJ99:BO99" si="517">SUM(AJ97:AJ98)</f>
        <v>0</v>
      </c>
      <c r="AK99" s="355">
        <f t="shared" si="517"/>
        <v>0</v>
      </c>
      <c r="AL99" s="355">
        <f t="shared" si="517"/>
        <v>0</v>
      </c>
      <c r="AM99" s="355">
        <f t="shared" si="517"/>
        <v>0</v>
      </c>
      <c r="AN99" s="355">
        <f t="shared" si="517"/>
        <v>0</v>
      </c>
      <c r="AO99" s="355">
        <f t="shared" si="517"/>
        <v>0</v>
      </c>
      <c r="AP99" s="356">
        <f t="shared" si="517"/>
        <v>297821.27259068447</v>
      </c>
      <c r="AQ99" s="355">
        <f t="shared" si="517"/>
        <v>0</v>
      </c>
      <c r="AR99" s="355">
        <f t="shared" si="517"/>
        <v>0</v>
      </c>
      <c r="AS99" s="355">
        <f t="shared" si="517"/>
        <v>0</v>
      </c>
      <c r="AT99" s="355">
        <f t="shared" si="517"/>
        <v>0</v>
      </c>
      <c r="AU99" s="355">
        <f t="shared" si="517"/>
        <v>0</v>
      </c>
      <c r="AV99" s="355">
        <f t="shared" si="517"/>
        <v>0</v>
      </c>
      <c r="AW99" s="355">
        <f t="shared" si="517"/>
        <v>0</v>
      </c>
      <c r="AX99" s="355">
        <f t="shared" si="517"/>
        <v>0</v>
      </c>
      <c r="AY99" s="355">
        <f t="shared" si="517"/>
        <v>0</v>
      </c>
      <c r="AZ99" s="355">
        <f t="shared" si="517"/>
        <v>0</v>
      </c>
      <c r="BA99" s="355">
        <f t="shared" si="517"/>
        <v>0</v>
      </c>
      <c r="BB99" s="355">
        <f t="shared" si="517"/>
        <v>0</v>
      </c>
      <c r="BC99" s="356">
        <f t="shared" si="517"/>
        <v>0</v>
      </c>
      <c r="BD99" s="355">
        <f t="shared" si="517"/>
        <v>0</v>
      </c>
      <c r="BE99" s="355">
        <f t="shared" si="517"/>
        <v>0</v>
      </c>
      <c r="BF99" s="355">
        <f t="shared" si="517"/>
        <v>0</v>
      </c>
      <c r="BG99" s="355">
        <f t="shared" si="517"/>
        <v>0</v>
      </c>
      <c r="BH99" s="355">
        <f t="shared" si="517"/>
        <v>0</v>
      </c>
      <c r="BI99" s="355">
        <f t="shared" si="517"/>
        <v>0</v>
      </c>
      <c r="BJ99" s="355">
        <f t="shared" si="517"/>
        <v>0</v>
      </c>
      <c r="BK99" s="355">
        <f t="shared" si="517"/>
        <v>0</v>
      </c>
      <c r="BL99" s="355">
        <f t="shared" si="517"/>
        <v>0</v>
      </c>
      <c r="BM99" s="355">
        <f t="shared" si="517"/>
        <v>0</v>
      </c>
      <c r="BN99" s="355">
        <f t="shared" si="517"/>
        <v>0</v>
      </c>
      <c r="BO99" s="355">
        <f t="shared" si="517"/>
        <v>0</v>
      </c>
      <c r="BP99" s="356">
        <f t="shared" ref="BP99:BQ99" si="518">SUM(BP97:BP98)</f>
        <v>0</v>
      </c>
      <c r="BQ99" s="356">
        <f t="shared" si="518"/>
        <v>1899999.9999999998</v>
      </c>
    </row>
    <row r="100" spans="1:69" ht="13.5" customHeight="1">
      <c r="A100" s="4"/>
      <c r="B100" s="328"/>
      <c r="C100" s="328"/>
      <c r="D100" s="344"/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  <c r="O100" s="344"/>
      <c r="P100" s="357"/>
      <c r="Q100" s="344"/>
      <c r="R100" s="344"/>
      <c r="S100" s="344"/>
      <c r="T100" s="344"/>
      <c r="U100" s="344"/>
      <c r="V100" s="344"/>
      <c r="W100" s="344"/>
      <c r="X100" s="344"/>
      <c r="Y100" s="344"/>
      <c r="Z100" s="344"/>
      <c r="AA100" s="344"/>
      <c r="AB100" s="344"/>
      <c r="AC100" s="357"/>
      <c r="AD100" s="344"/>
      <c r="AE100" s="344"/>
      <c r="AF100" s="344"/>
      <c r="AG100" s="344"/>
      <c r="AH100" s="344"/>
      <c r="AI100" s="344"/>
      <c r="AJ100" s="344"/>
      <c r="AK100" s="344"/>
      <c r="AL100" s="344"/>
      <c r="AM100" s="344"/>
      <c r="AN100" s="344"/>
      <c r="AO100" s="344"/>
      <c r="AP100" s="357"/>
      <c r="AQ100" s="346"/>
      <c r="AR100" s="346"/>
      <c r="AS100" s="346"/>
      <c r="AT100" s="346"/>
      <c r="AU100" s="346"/>
      <c r="AV100" s="346"/>
      <c r="AW100" s="346"/>
      <c r="AX100" s="346"/>
      <c r="AY100" s="346"/>
      <c r="AZ100" s="346"/>
      <c r="BA100" s="346"/>
      <c r="BB100" s="346"/>
      <c r="BC100" s="358"/>
      <c r="BD100" s="346"/>
      <c r="BE100" s="346"/>
      <c r="BF100" s="346"/>
      <c r="BG100" s="346"/>
      <c r="BH100" s="346"/>
      <c r="BI100" s="346"/>
      <c r="BJ100" s="346"/>
      <c r="BK100" s="346"/>
      <c r="BL100" s="346"/>
      <c r="BM100" s="346"/>
      <c r="BN100" s="346"/>
      <c r="BO100" s="346"/>
      <c r="BP100" s="358"/>
      <c r="BQ100" s="358"/>
    </row>
    <row r="101" spans="1:69" ht="13.5" customHeight="1">
      <c r="A101" s="75"/>
      <c r="B101" s="385" t="s">
        <v>118</v>
      </c>
      <c r="C101" s="390"/>
      <c r="D101" s="367">
        <f>D69+D76+D87+D93+D99</f>
        <v>230440.83333333331</v>
      </c>
      <c r="E101" s="367">
        <f t="shared" ref="E101:AI101" si="519">E69+E76+E87+E93+E99</f>
        <v>262891.66666666669</v>
      </c>
      <c r="F101" s="367">
        <f t="shared" si="519"/>
        <v>282181.41666666663</v>
      </c>
      <c r="G101" s="367">
        <f t="shared" si="519"/>
        <v>324693.60416666663</v>
      </c>
      <c r="H101" s="367">
        <f t="shared" si="519"/>
        <v>322007.42604166665</v>
      </c>
      <c r="I101" s="367">
        <f t="shared" si="519"/>
        <v>320079.93901041668</v>
      </c>
      <c r="J101" s="367">
        <f t="shared" si="519"/>
        <v>337307.4006276041</v>
      </c>
      <c r="K101" s="367">
        <f t="shared" si="519"/>
        <v>309162.70051565103</v>
      </c>
      <c r="L101" s="367">
        <f t="shared" si="519"/>
        <v>194530.66954380029</v>
      </c>
      <c r="M101" s="367">
        <f t="shared" si="519"/>
        <v>304911.78829342802</v>
      </c>
      <c r="N101" s="367">
        <f t="shared" si="519"/>
        <v>305306.55678871018</v>
      </c>
      <c r="O101" s="367">
        <f t="shared" si="519"/>
        <v>408196.26423117478</v>
      </c>
      <c r="P101" s="368">
        <f t="shared" si="519"/>
        <v>3601710.2658857852</v>
      </c>
      <c r="Q101" s="367">
        <f t="shared" si="519"/>
        <v>360757.9787051868</v>
      </c>
      <c r="R101" s="367">
        <f t="shared" si="519"/>
        <v>612010.34168112313</v>
      </c>
      <c r="S101" s="367">
        <f t="shared" si="519"/>
        <v>681784.36075307662</v>
      </c>
      <c r="T101" s="367">
        <f t="shared" si="519"/>
        <v>380628.03710135195</v>
      </c>
      <c r="U101" s="367">
        <f t="shared" si="519"/>
        <v>437609.56984977482</v>
      </c>
      <c r="V101" s="367">
        <f t="shared" si="519"/>
        <v>477370.47397921956</v>
      </c>
      <c r="W101" s="367">
        <f t="shared" si="519"/>
        <v>940893.43755779695</v>
      </c>
      <c r="X101" s="367">
        <f t="shared" si="519"/>
        <v>669555.42497575155</v>
      </c>
      <c r="Y101" s="367">
        <f t="shared" si="519"/>
        <v>609197.2398185737</v>
      </c>
      <c r="Z101" s="367">
        <f t="shared" si="519"/>
        <v>995541.36464880023</v>
      </c>
      <c r="AA101" s="367">
        <f t="shared" si="519"/>
        <v>752641.89153229224</v>
      </c>
      <c r="AB101" s="367">
        <f t="shared" si="519"/>
        <v>612225.67902593326</v>
      </c>
      <c r="AC101" s="368">
        <f t="shared" si="519"/>
        <v>7530215.7996288817</v>
      </c>
      <c r="AD101" s="367">
        <f t="shared" si="519"/>
        <v>1126735.3251093891</v>
      </c>
      <c r="AE101" s="367">
        <f t="shared" si="519"/>
        <v>1195224.1662418868</v>
      </c>
      <c r="AF101" s="367">
        <f t="shared" si="519"/>
        <v>1190065.9908437005</v>
      </c>
      <c r="AG101" s="367">
        <f t="shared" si="519"/>
        <v>1247045.5324096826</v>
      </c>
      <c r="AH101" s="367">
        <f t="shared" si="519"/>
        <v>1173249.91096593</v>
      </c>
      <c r="AI101" s="367">
        <f t="shared" si="519"/>
        <v>1201943.1283294614</v>
      </c>
      <c r="AJ101" s="367">
        <f t="shared" ref="AJ101:BQ101" si="520">AJ69+AJ76+AJ87+AJ93+AJ99</f>
        <v>1153536.0984075323</v>
      </c>
      <c r="AK101" s="367">
        <f t="shared" si="520"/>
        <v>1154904.2370310125</v>
      </c>
      <c r="AL101" s="367">
        <f t="shared" si="520"/>
        <v>1156319.9027267604</v>
      </c>
      <c r="AM101" s="367">
        <f t="shared" si="520"/>
        <v>1157784.8454526211</v>
      </c>
      <c r="AN101" s="367">
        <f t="shared" si="520"/>
        <v>1159300.8838724608</v>
      </c>
      <c r="AO101" s="367">
        <f t="shared" si="520"/>
        <v>1160869.9082277087</v>
      </c>
      <c r="AP101" s="368">
        <f t="shared" si="520"/>
        <v>14076979.929618146</v>
      </c>
      <c r="AQ101" s="369">
        <f t="shared" si="520"/>
        <v>1237424.0201355673</v>
      </c>
      <c r="AR101" s="369">
        <f t="shared" si="520"/>
        <v>1239104.9885197135</v>
      </c>
      <c r="AS101" s="369">
        <f t="shared" si="520"/>
        <v>1240845.073679588</v>
      </c>
      <c r="AT101" s="369">
        <f t="shared" si="520"/>
        <v>1242646.483504673</v>
      </c>
      <c r="AU101" s="369">
        <f t="shared" si="520"/>
        <v>1244511.5138404453</v>
      </c>
      <c r="AV101" s="369">
        <f t="shared" si="520"/>
        <v>1246442.5522130223</v>
      </c>
      <c r="AW101" s="369">
        <f t="shared" si="520"/>
        <v>1248442.0817198451</v>
      </c>
      <c r="AX101" s="369">
        <f t="shared" si="520"/>
        <v>1250512.6850940939</v>
      </c>
      <c r="AY101" s="369">
        <f t="shared" si="520"/>
        <v>1252657.0489509029</v>
      </c>
      <c r="AZ101" s="369">
        <f t="shared" si="520"/>
        <v>1254877.9682238153</v>
      </c>
      <c r="BA101" s="369">
        <f t="shared" si="520"/>
        <v>1257178.3508003347</v>
      </c>
      <c r="BB101" s="369">
        <f t="shared" si="520"/>
        <v>1259561.2223658399</v>
      </c>
      <c r="BC101" s="368">
        <f t="shared" si="520"/>
        <v>14974203.989047842</v>
      </c>
      <c r="BD101" s="369">
        <f t="shared" si="520"/>
        <v>1340117.0737375852</v>
      </c>
      <c r="BE101" s="369">
        <f t="shared" si="520"/>
        <v>1342674.4970669609</v>
      </c>
      <c r="BF101" s="369">
        <f t="shared" si="520"/>
        <v>1345324.2450006884</v>
      </c>
      <c r="BG101" s="369">
        <f t="shared" si="520"/>
        <v>1348069.8673721217</v>
      </c>
      <c r="BH101" s="369">
        <f t="shared" si="520"/>
        <v>1350915.0595143766</v>
      </c>
      <c r="BI101" s="369">
        <f t="shared" si="520"/>
        <v>1353863.6685755618</v>
      </c>
      <c r="BJ101" s="369">
        <f t="shared" si="520"/>
        <v>1356919.7001209781</v>
      </c>
      <c r="BK101" s="369">
        <f t="shared" si="520"/>
        <v>1360087.3250357723</v>
      </c>
      <c r="BL101" s="369">
        <f t="shared" si="520"/>
        <v>1363370.886742177</v>
      </c>
      <c r="BM101" s="369">
        <f t="shared" si="520"/>
        <v>1366774.9087461478</v>
      </c>
      <c r="BN101" s="369">
        <f t="shared" si="520"/>
        <v>1370304.1025289313</v>
      </c>
      <c r="BO101" s="369">
        <f t="shared" si="520"/>
        <v>1373963.3757998263</v>
      </c>
      <c r="BP101" s="369">
        <f t="shared" si="520"/>
        <v>16272384.710241126</v>
      </c>
      <c r="BQ101" s="369">
        <f t="shared" si="520"/>
        <v>56455494.694421776</v>
      </c>
    </row>
    <row r="103" spans="1:69" ht="13.5" customHeight="1">
      <c r="B103" s="371" t="s">
        <v>119</v>
      </c>
      <c r="C103" s="371"/>
      <c r="D103" s="370">
        <f t="shared" ref="D103:AI103" si="521">D61-D101</f>
        <v>-230440.83333333331</v>
      </c>
      <c r="E103" s="370">
        <f t="shared" si="521"/>
        <v>-262891.66666666669</v>
      </c>
      <c r="F103" s="370">
        <f t="shared" si="521"/>
        <v>-282181.41666666663</v>
      </c>
      <c r="G103" s="370">
        <f t="shared" si="521"/>
        <v>-324693.60416666663</v>
      </c>
      <c r="H103" s="370">
        <f t="shared" si="521"/>
        <v>-322007.42604166665</v>
      </c>
      <c r="I103" s="370">
        <f t="shared" si="521"/>
        <v>-320079.93901041668</v>
      </c>
      <c r="J103" s="370">
        <f t="shared" si="521"/>
        <v>-337307.4006276041</v>
      </c>
      <c r="K103" s="370">
        <f t="shared" si="521"/>
        <v>-309162.70051565103</v>
      </c>
      <c r="L103" s="370">
        <f t="shared" si="521"/>
        <v>-194530.66954380029</v>
      </c>
      <c r="M103" s="370">
        <f t="shared" si="521"/>
        <v>-304911.78829342802</v>
      </c>
      <c r="N103" s="370">
        <f t="shared" si="521"/>
        <v>-1152472.3997887103</v>
      </c>
      <c r="O103" s="370">
        <f t="shared" si="521"/>
        <v>841529.0057688253</v>
      </c>
      <c r="P103" s="371">
        <f t="shared" si="521"/>
        <v>-3199150.8388857851</v>
      </c>
      <c r="Q103" s="370">
        <f t="shared" si="521"/>
        <v>-620050.76320518693</v>
      </c>
      <c r="R103" s="370">
        <f t="shared" si="521"/>
        <v>2966624.4858188774</v>
      </c>
      <c r="S103" s="370">
        <f t="shared" si="521"/>
        <v>3882578.5022469242</v>
      </c>
      <c r="T103" s="370">
        <f t="shared" si="521"/>
        <v>-4726714.8021013523</v>
      </c>
      <c r="U103" s="370">
        <f t="shared" si="521"/>
        <v>-108959.37284977478</v>
      </c>
      <c r="V103" s="370">
        <f t="shared" si="521"/>
        <v>-830355.5173125529</v>
      </c>
      <c r="W103" s="370">
        <f t="shared" si="521"/>
        <v>3824144.4740088703</v>
      </c>
      <c r="X103" s="370">
        <f t="shared" si="521"/>
        <v>206186.1341409157</v>
      </c>
      <c r="Y103" s="370">
        <f t="shared" si="521"/>
        <v>-2136970.4494569069</v>
      </c>
      <c r="Z103" s="370">
        <f t="shared" si="521"/>
        <v>4509720.0454157004</v>
      </c>
      <c r="AA103" s="370">
        <f t="shared" si="521"/>
        <v>1268211.6046386585</v>
      </c>
      <c r="AB103" s="370">
        <f t="shared" si="521"/>
        <v>-954466.85731788829</v>
      </c>
      <c r="AC103" s="371">
        <f t="shared" si="521"/>
        <v>7279947.4840262849</v>
      </c>
      <c r="AD103" s="370">
        <f t="shared" si="521"/>
        <v>-3421553.9596972065</v>
      </c>
      <c r="AE103" s="370">
        <f t="shared" si="521"/>
        <v>-232758.00937181909</v>
      </c>
      <c r="AF103" s="370">
        <f t="shared" si="521"/>
        <v>-317781.39831995964</v>
      </c>
      <c r="AG103" s="370">
        <f t="shared" si="521"/>
        <v>143600.37303309957</v>
      </c>
      <c r="AH103" s="370">
        <f t="shared" si="521"/>
        <v>-854475.8927272032</v>
      </c>
      <c r="AI103" s="370">
        <f t="shared" si="521"/>
        <v>-69750.9096962451</v>
      </c>
      <c r="AJ103" s="370">
        <f t="shared" ref="AJ103:BQ103" si="522">AJ61-AJ101</f>
        <v>5206164.76462055</v>
      </c>
      <c r="AK103" s="370">
        <f t="shared" si="522"/>
        <v>-2997695.9697800889</v>
      </c>
      <c r="AL103" s="370">
        <f t="shared" si="522"/>
        <v>8652.5407461740542</v>
      </c>
      <c r="AM103" s="370">
        <f t="shared" si="522"/>
        <v>6867286.9963275343</v>
      </c>
      <c r="AN103" s="370">
        <f t="shared" si="522"/>
        <v>-652586.42477330472</v>
      </c>
      <c r="AO103" s="370">
        <f t="shared" si="522"/>
        <v>-852672.8890037532</v>
      </c>
      <c r="AP103" s="371">
        <f t="shared" si="522"/>
        <v>2826429.2213577777</v>
      </c>
      <c r="AQ103" s="371">
        <f t="shared" si="522"/>
        <v>1319026.5851266293</v>
      </c>
      <c r="AR103" s="371">
        <f t="shared" si="522"/>
        <v>1240206.3254525389</v>
      </c>
      <c r="AS103" s="371">
        <f t="shared" si="522"/>
        <v>1257784.0804645878</v>
      </c>
      <c r="AT103" s="371">
        <f t="shared" si="522"/>
        <v>1936749.6951929918</v>
      </c>
      <c r="AU103" s="371">
        <f t="shared" si="522"/>
        <v>637717.08000897942</v>
      </c>
      <c r="AV103" s="371">
        <f t="shared" si="522"/>
        <v>1641872.2648048962</v>
      </c>
      <c r="AW103" s="371">
        <f t="shared" si="522"/>
        <v>7904780.8166678548</v>
      </c>
      <c r="AX103" s="371">
        <f t="shared" si="522"/>
        <v>-1832680.3412599203</v>
      </c>
      <c r="AY103" s="371">
        <f t="shared" si="522"/>
        <v>1723570.7688729574</v>
      </c>
      <c r="AZ103" s="371">
        <f t="shared" si="522"/>
        <v>9676556.2138499171</v>
      </c>
      <c r="BA103" s="371">
        <f t="shared" si="522"/>
        <v>1172406.0022697013</v>
      </c>
      <c r="BB103" s="371">
        <f t="shared" si="522"/>
        <v>931032.4286933993</v>
      </c>
      <c r="BC103" s="371">
        <f t="shared" si="522"/>
        <v>27609021.920144536</v>
      </c>
      <c r="BD103" s="371">
        <f t="shared" si="522"/>
        <v>2998429.9039545627</v>
      </c>
      <c r="BE103" s="371">
        <f t="shared" si="522"/>
        <v>2947000.7066038223</v>
      </c>
      <c r="BF103" s="371">
        <f t="shared" si="522"/>
        <v>2987833.8642074373</v>
      </c>
      <c r="BG103" s="371">
        <f t="shared" si="522"/>
        <v>2133967.3966290001</v>
      </c>
      <c r="BH103" s="371">
        <f t="shared" si="522"/>
        <v>1024491.9502367603</v>
      </c>
      <c r="BI103" s="371">
        <f t="shared" si="522"/>
        <v>2236751.3857850833</v>
      </c>
      <c r="BJ103" s="371">
        <f t="shared" si="522"/>
        <v>12153348.313973872</v>
      </c>
      <c r="BK103" s="371">
        <f t="shared" si="522"/>
        <v>198721.31228381721</v>
      </c>
      <c r="BL103" s="371">
        <f t="shared" si="522"/>
        <v>4567836.832567405</v>
      </c>
      <c r="BM103" s="371">
        <f t="shared" si="522"/>
        <v>15197218.405438814</v>
      </c>
      <c r="BN103" s="371">
        <f t="shared" si="522"/>
        <v>5102308.5660406565</v>
      </c>
      <c r="BO103" s="371">
        <f t="shared" si="522"/>
        <v>5495199.595353581</v>
      </c>
      <c r="BP103" s="371">
        <f t="shared" si="522"/>
        <v>57043108.233074814</v>
      </c>
      <c r="BQ103" s="371">
        <f t="shared" si="522"/>
        <v>91559356.019717634</v>
      </c>
    </row>
    <row r="104" spans="1:69" ht="13.5" customHeight="1">
      <c r="B104" s="328"/>
      <c r="C104" s="328"/>
      <c r="D104" s="328"/>
      <c r="E104" s="328"/>
      <c r="F104" s="328"/>
      <c r="G104" s="328"/>
      <c r="H104" s="328"/>
      <c r="I104" s="328"/>
      <c r="J104" s="328"/>
      <c r="K104" s="328"/>
      <c r="L104" s="328"/>
      <c r="M104" s="328"/>
      <c r="N104" s="328"/>
      <c r="O104" s="328"/>
      <c r="P104" s="328"/>
      <c r="Q104" s="328"/>
      <c r="R104" s="328"/>
      <c r="S104" s="328"/>
      <c r="T104" s="328"/>
      <c r="U104" s="328"/>
      <c r="V104" s="328"/>
      <c r="W104" s="328"/>
      <c r="X104" s="328"/>
      <c r="Y104" s="328"/>
      <c r="Z104" s="328"/>
      <c r="AA104" s="328"/>
      <c r="AB104" s="328"/>
      <c r="AC104" s="328"/>
      <c r="AD104" s="328"/>
      <c r="AE104" s="328"/>
      <c r="AF104" s="328"/>
      <c r="AG104" s="328"/>
      <c r="AH104" s="328"/>
      <c r="AI104" s="328"/>
      <c r="AJ104" s="328"/>
      <c r="AK104" s="328"/>
      <c r="AL104" s="328"/>
      <c r="AM104" s="328"/>
      <c r="AN104" s="328"/>
      <c r="AO104" s="328"/>
      <c r="AP104" s="328"/>
      <c r="AQ104" s="329"/>
      <c r="AR104" s="329"/>
      <c r="AS104" s="329"/>
      <c r="AT104" s="329"/>
      <c r="AU104" s="329"/>
      <c r="AV104" s="329"/>
      <c r="AW104" s="329"/>
      <c r="AX104" s="329"/>
      <c r="AY104" s="329"/>
      <c r="AZ104" s="329"/>
      <c r="BA104" s="329"/>
      <c r="BB104" s="329"/>
      <c r="BC104" s="329"/>
      <c r="BD104" s="329"/>
      <c r="BE104" s="329"/>
      <c r="BF104" s="329"/>
      <c r="BG104" s="329"/>
      <c r="BH104" s="329"/>
      <c r="BI104" s="329"/>
      <c r="BJ104" s="329"/>
      <c r="BK104" s="329"/>
      <c r="BL104" s="329"/>
      <c r="BM104" s="329"/>
      <c r="BN104" s="329"/>
      <c r="BO104" s="329"/>
      <c r="BP104" s="329"/>
      <c r="BQ104" s="329"/>
    </row>
    <row r="105" spans="1:69" ht="13.5" customHeight="1">
      <c r="B105" s="328"/>
      <c r="C105" s="328"/>
      <c r="D105" s="392"/>
      <c r="E105" s="392"/>
      <c r="F105" s="392"/>
      <c r="G105" s="392"/>
      <c r="H105" s="392"/>
      <c r="I105" s="392"/>
      <c r="J105" s="392"/>
      <c r="K105" s="392"/>
      <c r="L105" s="392"/>
      <c r="M105" s="392"/>
      <c r="N105" s="392"/>
      <c r="O105" s="392"/>
      <c r="P105" s="392"/>
      <c r="Q105" s="392"/>
      <c r="R105" s="392"/>
      <c r="S105" s="392"/>
      <c r="T105" s="392"/>
      <c r="U105" s="392"/>
      <c r="V105" s="392"/>
      <c r="W105" s="392"/>
      <c r="X105" s="392"/>
      <c r="Y105" s="392"/>
      <c r="Z105" s="392"/>
      <c r="AA105" s="392"/>
      <c r="AB105" s="392"/>
      <c r="AC105" s="392"/>
      <c r="AD105" s="392"/>
      <c r="AE105" s="328"/>
      <c r="AF105" s="328"/>
      <c r="AG105" s="328"/>
      <c r="AH105" s="328"/>
      <c r="AI105" s="328"/>
      <c r="AJ105" s="328"/>
      <c r="AK105" s="328"/>
      <c r="AL105" s="328"/>
      <c r="AM105" s="328"/>
      <c r="AN105" s="328"/>
      <c r="AO105" s="328"/>
      <c r="AP105" s="328"/>
      <c r="AQ105" s="329"/>
      <c r="AR105" s="329"/>
      <c r="AS105" s="329"/>
      <c r="AT105" s="329"/>
      <c r="AU105" s="329"/>
      <c r="AV105" s="329"/>
      <c r="AW105" s="329"/>
      <c r="AX105" s="329"/>
      <c r="AY105" s="329"/>
      <c r="AZ105" s="329"/>
      <c r="BA105" s="329"/>
      <c r="BB105" s="329"/>
      <c r="BC105" s="329"/>
      <c r="BD105" s="329"/>
      <c r="BE105" s="329"/>
      <c r="BF105" s="329"/>
      <c r="BG105" s="329"/>
      <c r="BH105" s="329"/>
      <c r="BI105" s="329"/>
      <c r="BJ105" s="329"/>
      <c r="BK105" s="329"/>
      <c r="BL105" s="329"/>
      <c r="BM105" s="329"/>
      <c r="BN105" s="329"/>
      <c r="BO105" s="329"/>
      <c r="BP105" s="329"/>
      <c r="BQ105" s="329"/>
    </row>
    <row r="106" spans="1:69" ht="13.5" customHeight="1">
      <c r="B106" s="285"/>
      <c r="C106" s="372"/>
      <c r="D106" s="372"/>
      <c r="E106" s="372"/>
      <c r="F106" s="372"/>
      <c r="G106" s="372"/>
      <c r="H106" s="372"/>
      <c r="I106" s="372"/>
      <c r="J106" s="372"/>
      <c r="K106" s="372"/>
      <c r="L106" s="372"/>
      <c r="M106" s="372"/>
      <c r="N106" s="372"/>
      <c r="O106" s="372"/>
      <c r="P106" s="529"/>
      <c r="Q106" s="372"/>
      <c r="R106" s="372"/>
      <c r="S106" s="372"/>
      <c r="T106" s="372"/>
      <c r="U106" s="372"/>
      <c r="V106" s="372"/>
      <c r="W106" s="372"/>
      <c r="X106" s="328"/>
      <c r="Y106" s="328"/>
      <c r="Z106" s="372"/>
      <c r="AA106" s="372"/>
      <c r="AB106" s="372"/>
      <c r="AC106" s="328"/>
      <c r="AD106" s="372"/>
      <c r="AE106" s="372"/>
      <c r="AF106" s="372"/>
      <c r="AG106" s="372"/>
      <c r="AH106" s="372"/>
      <c r="AI106" s="372"/>
      <c r="AJ106" s="372"/>
      <c r="AK106" s="328"/>
      <c r="AL106" s="328"/>
      <c r="AM106" s="372"/>
      <c r="AN106" s="372"/>
      <c r="AO106" s="372"/>
      <c r="AP106" s="328"/>
      <c r="AQ106" s="373"/>
      <c r="AR106" s="373"/>
      <c r="AS106" s="373"/>
      <c r="AT106" s="373"/>
      <c r="AU106" s="373"/>
      <c r="AV106" s="373"/>
      <c r="AW106" s="373"/>
      <c r="AX106" s="329"/>
      <c r="AY106" s="329"/>
      <c r="AZ106" s="373"/>
      <c r="BA106" s="373"/>
      <c r="BB106" s="373"/>
      <c r="BC106" s="329"/>
      <c r="BD106" s="373"/>
      <c r="BE106" s="373"/>
      <c r="BF106" s="373"/>
      <c r="BG106" s="373"/>
      <c r="BH106" s="373"/>
      <c r="BI106" s="373"/>
      <c r="BJ106" s="373"/>
      <c r="BK106" s="329"/>
      <c r="BL106" s="329"/>
      <c r="BM106" s="373"/>
      <c r="BN106" s="373"/>
      <c r="BO106" s="373"/>
      <c r="BP106" s="329"/>
      <c r="BQ106" s="329"/>
    </row>
    <row r="107" spans="1:69" ht="13.5" customHeight="1">
      <c r="B107" s="372"/>
      <c r="C107" s="372"/>
      <c r="D107" s="372"/>
      <c r="E107" s="372"/>
      <c r="F107" s="372"/>
      <c r="G107" s="372"/>
      <c r="H107" s="372"/>
      <c r="I107" s="372"/>
      <c r="J107" s="372"/>
      <c r="K107" s="328"/>
      <c r="L107" s="328"/>
      <c r="M107" s="372"/>
      <c r="N107" s="372"/>
      <c r="O107" s="372"/>
      <c r="P107" s="328"/>
      <c r="Q107" s="372"/>
      <c r="R107" s="372"/>
      <c r="S107" s="372"/>
      <c r="T107" s="372"/>
      <c r="U107" s="372"/>
      <c r="V107" s="372"/>
      <c r="W107" s="372"/>
      <c r="X107" s="328"/>
      <c r="Y107" s="328"/>
      <c r="Z107" s="372"/>
      <c r="AA107" s="372"/>
      <c r="AB107" s="372"/>
      <c r="AC107" s="328"/>
      <c r="AD107" s="372"/>
      <c r="AE107" s="372"/>
      <c r="AF107" s="372"/>
      <c r="AG107" s="372"/>
      <c r="AH107" s="372"/>
      <c r="AI107" s="372"/>
      <c r="AJ107" s="372"/>
      <c r="AK107" s="328"/>
      <c r="AL107" s="328"/>
      <c r="AM107" s="372"/>
      <c r="AN107" s="372"/>
      <c r="AO107" s="372"/>
      <c r="AP107" s="328"/>
      <c r="AQ107" s="373"/>
      <c r="AR107" s="373"/>
      <c r="AS107" s="373"/>
      <c r="AT107" s="373"/>
      <c r="AU107" s="373"/>
      <c r="AV107" s="373"/>
      <c r="AW107" s="373"/>
      <c r="AX107" s="329"/>
      <c r="AY107" s="329"/>
      <c r="AZ107" s="373"/>
      <c r="BA107" s="373"/>
      <c r="BB107" s="373"/>
      <c r="BC107" s="329"/>
      <c r="BD107" s="373"/>
      <c r="BE107" s="373"/>
      <c r="BF107" s="373"/>
      <c r="BG107" s="373"/>
      <c r="BH107" s="373"/>
      <c r="BI107" s="373"/>
      <c r="BJ107" s="373"/>
      <c r="BK107" s="329"/>
      <c r="BL107" s="329"/>
      <c r="BM107" s="373"/>
      <c r="BN107" s="373"/>
      <c r="BO107" s="373"/>
      <c r="BP107" s="329"/>
      <c r="BQ107" s="329"/>
    </row>
    <row r="108" spans="1:69" ht="13.5" customHeight="1">
      <c r="B108" s="372"/>
      <c r="C108" s="372"/>
      <c r="D108" s="372"/>
      <c r="E108" s="372"/>
      <c r="F108" s="372"/>
      <c r="G108" s="372"/>
      <c r="H108" s="372"/>
      <c r="I108" s="372"/>
      <c r="J108" s="372"/>
      <c r="K108" s="328"/>
      <c r="L108" s="328"/>
      <c r="M108" s="372"/>
      <c r="N108" s="372"/>
      <c r="O108" s="372"/>
      <c r="P108" s="328"/>
      <c r="Q108" s="372"/>
      <c r="R108" s="372"/>
      <c r="S108" s="372"/>
      <c r="T108" s="372"/>
      <c r="U108" s="372"/>
      <c r="V108" s="372"/>
      <c r="W108" s="372"/>
      <c r="X108" s="328"/>
      <c r="Y108" s="328"/>
      <c r="Z108" s="372"/>
      <c r="AA108" s="372"/>
      <c r="AB108" s="372"/>
      <c r="AC108" s="328"/>
      <c r="AD108" s="372"/>
      <c r="AE108" s="372"/>
      <c r="AF108" s="372"/>
      <c r="AG108" s="372"/>
      <c r="AH108" s="372"/>
      <c r="AI108" s="372"/>
      <c r="AJ108" s="372"/>
      <c r="AK108" s="328"/>
      <c r="AL108" s="328"/>
      <c r="AM108" s="372"/>
      <c r="AN108" s="372"/>
      <c r="AO108" s="372"/>
      <c r="AP108" s="328"/>
      <c r="AQ108" s="373"/>
      <c r="AR108" s="373"/>
      <c r="AS108" s="373"/>
      <c r="AT108" s="373"/>
      <c r="AU108" s="373"/>
      <c r="AV108" s="373"/>
      <c r="AW108" s="373"/>
      <c r="AX108" s="329"/>
      <c r="AY108" s="329"/>
      <c r="AZ108" s="373"/>
      <c r="BA108" s="373"/>
      <c r="BB108" s="373"/>
      <c r="BC108" s="329"/>
      <c r="BD108" s="373"/>
      <c r="BE108" s="373"/>
      <c r="BF108" s="373"/>
      <c r="BG108" s="373"/>
      <c r="BH108" s="373"/>
      <c r="BI108" s="373"/>
      <c r="BJ108" s="373"/>
      <c r="BK108" s="329"/>
      <c r="BL108" s="329"/>
      <c r="BM108" s="373"/>
      <c r="BN108" s="373"/>
      <c r="BO108" s="373"/>
      <c r="BP108" s="329"/>
      <c r="BQ108" s="329"/>
    </row>
    <row r="109" spans="1:69">
      <c r="B109" s="372"/>
      <c r="C109" s="372"/>
      <c r="D109" s="372"/>
      <c r="E109" s="372"/>
      <c r="F109" s="372"/>
      <c r="G109" s="372"/>
      <c r="H109" s="372"/>
      <c r="I109" s="372"/>
      <c r="J109" s="372"/>
      <c r="K109" s="328"/>
      <c r="L109" s="328"/>
      <c r="M109" s="372"/>
      <c r="N109" s="372"/>
      <c r="O109" s="372"/>
      <c r="P109" s="328"/>
      <c r="Q109" s="372"/>
      <c r="R109" s="372"/>
      <c r="S109" s="372"/>
      <c r="T109" s="372"/>
      <c r="U109" s="372"/>
      <c r="V109" s="372"/>
      <c r="W109" s="372"/>
      <c r="X109" s="328"/>
      <c r="Y109" s="328"/>
      <c r="Z109" s="372"/>
      <c r="AA109" s="372"/>
      <c r="AB109" s="372"/>
      <c r="AC109" s="328"/>
      <c r="AD109" s="372"/>
      <c r="AE109" s="372"/>
      <c r="AF109" s="372"/>
      <c r="AG109" s="372"/>
      <c r="AH109" s="372"/>
      <c r="AI109" s="372"/>
      <c r="AJ109" s="372"/>
      <c r="AK109" s="328"/>
      <c r="AL109" s="328"/>
      <c r="AM109" s="372"/>
      <c r="AN109" s="372"/>
      <c r="AO109" s="372"/>
      <c r="AP109" s="328"/>
      <c r="AQ109" s="373"/>
      <c r="AR109" s="373"/>
      <c r="AS109" s="373"/>
      <c r="AT109" s="373"/>
      <c r="AU109" s="373"/>
      <c r="AV109" s="373"/>
      <c r="AW109" s="373"/>
      <c r="AX109" s="329"/>
      <c r="AY109" s="329"/>
      <c r="AZ109" s="373"/>
      <c r="BA109" s="373"/>
      <c r="BB109" s="373"/>
      <c r="BC109" s="329"/>
      <c r="BD109" s="373"/>
      <c r="BE109" s="373"/>
      <c r="BF109" s="373"/>
      <c r="BG109" s="373"/>
      <c r="BH109" s="373"/>
      <c r="BI109" s="373"/>
      <c r="BJ109" s="373"/>
      <c r="BK109" s="329"/>
      <c r="BL109" s="329"/>
      <c r="BM109" s="373"/>
      <c r="BN109" s="373"/>
      <c r="BO109" s="373"/>
      <c r="BP109" s="329"/>
      <c r="BQ109" s="329"/>
    </row>
    <row r="110" spans="1:69">
      <c r="B110" s="372"/>
      <c r="C110" s="372"/>
      <c r="D110" s="372"/>
      <c r="E110" s="372"/>
      <c r="F110" s="372"/>
      <c r="G110" s="372"/>
      <c r="H110" s="372"/>
      <c r="I110" s="372"/>
      <c r="J110" s="372"/>
      <c r="K110" s="328"/>
      <c r="L110" s="328"/>
      <c r="M110" s="331"/>
      <c r="N110" s="331"/>
      <c r="P110" s="328"/>
      <c r="Q110" s="372"/>
      <c r="R110" s="372"/>
      <c r="S110" s="372"/>
      <c r="T110" s="372"/>
      <c r="U110" s="372"/>
      <c r="V110" s="372"/>
      <c r="W110" s="372"/>
      <c r="X110" s="328"/>
      <c r="Y110" s="328"/>
      <c r="Z110" s="372"/>
      <c r="AA110" s="372"/>
      <c r="AB110" s="372"/>
      <c r="AC110" s="328"/>
      <c r="AD110" s="372"/>
      <c r="AE110" s="372"/>
      <c r="AF110" s="372"/>
      <c r="AG110" s="372"/>
      <c r="AH110" s="372"/>
      <c r="AI110" s="372"/>
      <c r="AJ110" s="372"/>
      <c r="AK110" s="328"/>
      <c r="AL110" s="328"/>
      <c r="AM110" s="372"/>
      <c r="AN110" s="372"/>
      <c r="AO110" s="372"/>
      <c r="AP110" s="328"/>
      <c r="AQ110" s="373"/>
      <c r="AR110" s="373"/>
      <c r="AS110" s="373"/>
      <c r="AT110" s="373"/>
      <c r="AU110" s="373"/>
      <c r="AV110" s="373"/>
      <c r="AW110" s="373"/>
      <c r="AX110" s="329"/>
      <c r="AY110" s="329"/>
      <c r="AZ110" s="373"/>
      <c r="BA110" s="373"/>
      <c r="BB110" s="373"/>
      <c r="BC110" s="329"/>
      <c r="BD110" s="373"/>
      <c r="BE110" s="373"/>
      <c r="BF110" s="373"/>
      <c r="BG110" s="373"/>
      <c r="BH110" s="373"/>
      <c r="BI110" s="373"/>
      <c r="BJ110" s="373"/>
      <c r="BK110" s="329"/>
      <c r="BL110" s="329"/>
      <c r="BM110" s="373"/>
      <c r="BN110" s="373"/>
      <c r="BO110" s="373"/>
      <c r="BP110" s="329"/>
      <c r="BQ110" s="329"/>
    </row>
    <row r="111" spans="1:69" ht="13.5" customHeight="1">
      <c r="B111" s="372"/>
      <c r="C111" s="372"/>
      <c r="D111" s="372"/>
      <c r="E111" s="372"/>
      <c r="F111" s="372"/>
      <c r="G111" s="372"/>
      <c r="H111" s="372"/>
      <c r="I111" s="372"/>
      <c r="J111" s="372"/>
      <c r="K111" s="328"/>
      <c r="L111" s="328"/>
      <c r="M111" s="372"/>
      <c r="N111" s="372"/>
      <c r="O111" s="372"/>
      <c r="P111" s="328"/>
      <c r="Q111" s="372"/>
      <c r="R111" s="372"/>
      <c r="S111" s="372"/>
      <c r="T111" s="372"/>
      <c r="U111" s="372"/>
      <c r="V111" s="372"/>
      <c r="W111" s="372"/>
      <c r="X111" s="328"/>
      <c r="Y111" s="328"/>
      <c r="Z111" s="372"/>
      <c r="AA111" s="372"/>
      <c r="AB111" s="372"/>
      <c r="AC111" s="328"/>
      <c r="AD111" s="372"/>
      <c r="AE111" s="372"/>
      <c r="AF111" s="372"/>
      <c r="AG111" s="372"/>
      <c r="AH111" s="372"/>
      <c r="AI111" s="372"/>
      <c r="AJ111" s="372"/>
      <c r="AK111" s="328"/>
      <c r="AL111" s="328"/>
      <c r="AM111" s="372"/>
      <c r="AN111" s="372"/>
      <c r="AO111" s="372"/>
      <c r="AP111" s="328"/>
      <c r="AQ111" s="373"/>
      <c r="AR111" s="373"/>
      <c r="AS111" s="373"/>
      <c r="AT111" s="373"/>
      <c r="AU111" s="373"/>
      <c r="AV111" s="373"/>
      <c r="AW111" s="373"/>
      <c r="AX111" s="329"/>
      <c r="AY111" s="329"/>
      <c r="AZ111" s="373"/>
      <c r="BA111" s="373"/>
      <c r="BB111" s="373"/>
      <c r="BC111" s="329"/>
      <c r="BD111" s="373"/>
      <c r="BE111" s="373"/>
      <c r="BF111" s="373"/>
      <c r="BG111" s="373"/>
      <c r="BH111" s="373"/>
      <c r="BI111" s="373"/>
      <c r="BJ111" s="373"/>
      <c r="BK111" s="329"/>
      <c r="BL111" s="329"/>
      <c r="BM111" s="373"/>
      <c r="BN111" s="373"/>
      <c r="BO111" s="373"/>
      <c r="BP111" s="329"/>
      <c r="BQ111" s="329"/>
    </row>
    <row r="112" spans="1:69" ht="13.5" customHeight="1">
      <c r="B112" s="372"/>
      <c r="C112" s="372"/>
      <c r="D112" s="372"/>
      <c r="E112" s="372"/>
      <c r="F112" s="372"/>
      <c r="G112" s="372"/>
      <c r="H112" s="372"/>
      <c r="I112" s="372"/>
      <c r="J112" s="372"/>
      <c r="K112" s="328"/>
      <c r="L112" s="328"/>
      <c r="M112" s="372"/>
      <c r="N112" s="372"/>
      <c r="O112" s="372"/>
      <c r="P112" s="328"/>
      <c r="Q112" s="372"/>
      <c r="R112" s="372"/>
      <c r="S112" s="372"/>
      <c r="T112" s="372"/>
      <c r="U112" s="372"/>
      <c r="V112" s="372"/>
      <c r="W112" s="372"/>
      <c r="X112" s="328"/>
      <c r="Y112" s="328"/>
      <c r="Z112" s="372"/>
      <c r="AA112" s="372"/>
      <c r="AB112" s="372"/>
      <c r="AC112" s="328"/>
      <c r="AD112" s="372"/>
      <c r="AE112" s="372"/>
      <c r="AF112" s="372"/>
      <c r="AG112" s="372"/>
      <c r="AH112" s="372"/>
      <c r="AI112" s="372"/>
      <c r="AJ112" s="372"/>
      <c r="AK112" s="328"/>
      <c r="AL112" s="328"/>
      <c r="AM112" s="372"/>
      <c r="AN112" s="372"/>
      <c r="AO112" s="372"/>
      <c r="AP112" s="328"/>
      <c r="AQ112" s="373"/>
      <c r="AR112" s="373"/>
      <c r="AS112" s="373"/>
      <c r="AT112" s="373"/>
      <c r="AU112" s="373"/>
      <c r="AV112" s="373"/>
      <c r="AW112" s="373"/>
      <c r="AX112" s="329"/>
      <c r="AY112" s="329"/>
      <c r="AZ112" s="373"/>
      <c r="BA112" s="373"/>
      <c r="BB112" s="373"/>
      <c r="BC112" s="329"/>
      <c r="BD112" s="373"/>
      <c r="BE112" s="373"/>
      <c r="BF112" s="373"/>
      <c r="BG112" s="373"/>
      <c r="BH112" s="373"/>
      <c r="BI112" s="373"/>
      <c r="BJ112" s="373"/>
      <c r="BK112" s="329"/>
      <c r="BL112" s="329"/>
      <c r="BM112" s="373"/>
      <c r="BN112" s="373"/>
      <c r="BO112" s="373"/>
      <c r="BP112" s="329"/>
      <c r="BQ112" s="329"/>
    </row>
    <row r="113" spans="2:69" ht="13.5" customHeight="1">
      <c r="B113" s="372"/>
      <c r="C113" s="372"/>
      <c r="D113" s="372"/>
      <c r="E113" s="372"/>
      <c r="F113" s="372"/>
      <c r="G113" s="372"/>
      <c r="H113" s="372"/>
      <c r="I113" s="372"/>
      <c r="J113" s="372"/>
      <c r="K113" s="328"/>
      <c r="L113" s="328"/>
      <c r="M113" s="372"/>
      <c r="N113" s="372"/>
      <c r="O113" s="372"/>
      <c r="P113" s="328"/>
      <c r="Q113" s="372"/>
      <c r="R113" s="372"/>
      <c r="S113" s="372"/>
      <c r="T113" s="372"/>
      <c r="U113" s="372"/>
      <c r="V113" s="372"/>
      <c r="W113" s="372"/>
      <c r="X113" s="328"/>
      <c r="Y113" s="328"/>
      <c r="Z113" s="372"/>
      <c r="AA113" s="372"/>
      <c r="AB113" s="372"/>
      <c r="AC113" s="328"/>
      <c r="AD113" s="372"/>
      <c r="AE113" s="372"/>
      <c r="AF113" s="372"/>
      <c r="AG113" s="372"/>
      <c r="AH113" s="372"/>
      <c r="AI113" s="372"/>
      <c r="AJ113" s="372"/>
      <c r="AK113" s="328"/>
      <c r="AL113" s="328"/>
      <c r="AM113" s="372"/>
      <c r="AN113" s="372"/>
      <c r="AO113" s="372"/>
      <c r="AP113" s="328"/>
      <c r="AQ113" s="373"/>
      <c r="AR113" s="373"/>
      <c r="AS113" s="373"/>
      <c r="AT113" s="373"/>
      <c r="AU113" s="373"/>
      <c r="AV113" s="373"/>
      <c r="AW113" s="373"/>
      <c r="AX113" s="329"/>
      <c r="AY113" s="329"/>
      <c r="AZ113" s="373"/>
      <c r="BA113" s="373"/>
      <c r="BB113" s="373"/>
      <c r="BC113" s="329"/>
      <c r="BD113" s="373"/>
      <c r="BE113" s="373"/>
      <c r="BF113" s="373"/>
      <c r="BG113" s="373"/>
      <c r="BH113" s="373"/>
      <c r="BI113" s="373"/>
      <c r="BJ113" s="373"/>
      <c r="BK113" s="329"/>
      <c r="BL113" s="329"/>
      <c r="BM113" s="373"/>
      <c r="BN113" s="373"/>
      <c r="BO113" s="373"/>
      <c r="BP113" s="329"/>
      <c r="BQ113" s="329"/>
    </row>
    <row r="114" spans="2:69" ht="13.5" customHeight="1">
      <c r="B114" s="372"/>
      <c r="C114" s="372"/>
      <c r="D114" s="372"/>
      <c r="E114" s="372"/>
      <c r="F114" s="372"/>
      <c r="G114" s="372"/>
      <c r="H114" s="372"/>
      <c r="I114" s="372"/>
      <c r="J114" s="372"/>
      <c r="K114" s="328"/>
      <c r="L114" s="328"/>
      <c r="M114" s="372"/>
      <c r="N114" s="372"/>
      <c r="O114" s="372"/>
      <c r="P114" s="328"/>
      <c r="Q114" s="372"/>
      <c r="R114" s="372"/>
      <c r="S114" s="372"/>
      <c r="T114" s="372"/>
      <c r="U114" s="372"/>
      <c r="V114" s="372"/>
      <c r="W114" s="372"/>
      <c r="X114" s="328"/>
      <c r="Y114" s="328"/>
      <c r="Z114" s="372"/>
      <c r="AA114" s="372"/>
      <c r="AB114" s="372"/>
      <c r="AC114" s="328"/>
      <c r="AD114" s="372"/>
      <c r="AE114" s="372"/>
      <c r="AF114" s="372"/>
      <c r="AG114" s="372"/>
      <c r="AH114" s="372"/>
      <c r="AI114" s="372"/>
      <c r="AJ114" s="372"/>
      <c r="AK114" s="328"/>
      <c r="AL114" s="328"/>
      <c r="AM114" s="372"/>
      <c r="AN114" s="372"/>
      <c r="AO114" s="372"/>
      <c r="AP114" s="328"/>
      <c r="AQ114" s="373"/>
      <c r="AR114" s="373"/>
      <c r="AS114" s="373"/>
      <c r="AT114" s="373"/>
      <c r="AU114" s="373"/>
      <c r="AV114" s="373"/>
      <c r="AW114" s="373"/>
      <c r="AX114" s="329"/>
      <c r="AY114" s="329"/>
      <c r="AZ114" s="373"/>
      <c r="BA114" s="373"/>
      <c r="BB114" s="373"/>
      <c r="BC114" s="329"/>
      <c r="BD114" s="373"/>
      <c r="BE114" s="373"/>
      <c r="BF114" s="373"/>
      <c r="BG114" s="373"/>
      <c r="BH114" s="373"/>
      <c r="BI114" s="373"/>
      <c r="BJ114" s="373"/>
      <c r="BK114" s="329"/>
      <c r="BL114" s="329"/>
      <c r="BM114" s="373"/>
      <c r="BN114" s="373"/>
      <c r="BO114" s="373"/>
      <c r="BP114" s="329"/>
      <c r="BQ114" s="329"/>
    </row>
    <row r="115" spans="2:69" ht="13.5" customHeight="1">
      <c r="B115" s="372"/>
      <c r="C115" s="372"/>
      <c r="D115" s="372"/>
      <c r="E115" s="372"/>
      <c r="F115" s="372"/>
      <c r="G115" s="372"/>
      <c r="H115" s="372"/>
      <c r="I115" s="372"/>
      <c r="J115" s="372"/>
      <c r="K115" s="328"/>
      <c r="L115" s="328"/>
      <c r="M115" s="372"/>
      <c r="N115" s="372"/>
      <c r="O115" s="372"/>
      <c r="P115" s="328"/>
      <c r="Q115" s="372"/>
      <c r="R115" s="372"/>
      <c r="S115" s="372"/>
      <c r="T115" s="372"/>
      <c r="U115" s="372"/>
      <c r="V115" s="372"/>
      <c r="W115" s="372"/>
      <c r="X115" s="328"/>
      <c r="Y115" s="328"/>
      <c r="Z115" s="372"/>
      <c r="AA115" s="372"/>
      <c r="AB115" s="372"/>
      <c r="AC115" s="328"/>
      <c r="AD115" s="372"/>
      <c r="AE115" s="372"/>
      <c r="AF115" s="372"/>
      <c r="AG115" s="372"/>
      <c r="AH115" s="372"/>
      <c r="AI115" s="372"/>
      <c r="AJ115" s="372"/>
      <c r="AK115" s="328"/>
      <c r="AL115" s="328"/>
      <c r="AM115" s="372"/>
      <c r="AN115" s="372"/>
      <c r="AO115" s="372"/>
      <c r="AP115" s="328"/>
      <c r="AQ115" s="373"/>
      <c r="AR115" s="373"/>
      <c r="AS115" s="373"/>
      <c r="AT115" s="373"/>
      <c r="AU115" s="373"/>
      <c r="AV115" s="373"/>
      <c r="AW115" s="373"/>
      <c r="AX115" s="329"/>
      <c r="AY115" s="329"/>
      <c r="AZ115" s="373"/>
      <c r="BA115" s="373"/>
      <c r="BB115" s="373"/>
      <c r="BC115" s="329"/>
      <c r="BD115" s="373"/>
      <c r="BE115" s="373"/>
      <c r="BF115" s="373"/>
      <c r="BG115" s="373"/>
      <c r="BH115" s="373"/>
      <c r="BI115" s="373"/>
      <c r="BJ115" s="373"/>
      <c r="BK115" s="329"/>
      <c r="BL115" s="329"/>
      <c r="BM115" s="373"/>
      <c r="BN115" s="373"/>
      <c r="BO115" s="373"/>
      <c r="BP115" s="329"/>
      <c r="BQ115" s="329"/>
    </row>
    <row r="116" spans="2:69" ht="13.5" customHeight="1">
      <c r="B116" s="372"/>
      <c r="C116" s="372"/>
      <c r="D116" s="372"/>
      <c r="E116" s="372"/>
      <c r="F116" s="372"/>
      <c r="G116" s="372"/>
      <c r="H116" s="372"/>
      <c r="I116" s="372"/>
      <c r="J116" s="372"/>
      <c r="K116" s="328"/>
      <c r="L116" s="328"/>
      <c r="M116" s="372"/>
      <c r="N116" s="372"/>
      <c r="O116" s="372"/>
      <c r="P116" s="328"/>
      <c r="Q116" s="372"/>
      <c r="R116" s="372"/>
      <c r="S116" s="372"/>
      <c r="T116" s="372"/>
      <c r="U116" s="372"/>
      <c r="V116" s="372"/>
      <c r="W116" s="372"/>
      <c r="X116" s="328"/>
      <c r="Y116" s="328"/>
      <c r="Z116" s="372"/>
      <c r="AA116" s="372"/>
      <c r="AB116" s="372"/>
      <c r="AC116" s="328"/>
      <c r="AD116" s="372"/>
      <c r="AE116" s="372"/>
      <c r="AF116" s="372"/>
      <c r="AG116" s="372"/>
      <c r="AH116" s="372"/>
      <c r="AI116" s="372"/>
      <c r="AJ116" s="372"/>
      <c r="AK116" s="328"/>
      <c r="AL116" s="328"/>
      <c r="AM116" s="372"/>
      <c r="AN116" s="372"/>
      <c r="AO116" s="372"/>
      <c r="AP116" s="328"/>
      <c r="AQ116" s="373"/>
      <c r="AR116" s="373"/>
      <c r="AS116" s="373"/>
      <c r="AT116" s="373"/>
      <c r="AU116" s="373"/>
      <c r="AV116" s="373"/>
      <c r="AW116" s="373"/>
      <c r="AX116" s="329"/>
      <c r="AY116" s="329"/>
      <c r="AZ116" s="373"/>
      <c r="BA116" s="373"/>
      <c r="BB116" s="373"/>
      <c r="BC116" s="329"/>
      <c r="BD116" s="373"/>
      <c r="BE116" s="373"/>
      <c r="BF116" s="373"/>
      <c r="BG116" s="373"/>
      <c r="BH116" s="373"/>
      <c r="BI116" s="373"/>
      <c r="BJ116" s="373"/>
      <c r="BK116" s="329"/>
      <c r="BL116" s="329"/>
      <c r="BM116" s="373"/>
      <c r="BN116" s="373"/>
      <c r="BO116" s="373"/>
      <c r="BP116" s="329"/>
      <c r="BQ116" s="329"/>
    </row>
    <row r="117" spans="2:69" ht="13.5" customHeight="1">
      <c r="B117" s="372"/>
      <c r="C117" s="372"/>
      <c r="D117" s="372"/>
      <c r="E117" s="372"/>
      <c r="F117" s="372"/>
      <c r="G117" s="372"/>
      <c r="H117" s="372"/>
      <c r="I117" s="372"/>
      <c r="J117" s="372"/>
      <c r="K117" s="328"/>
      <c r="L117" s="328"/>
      <c r="M117" s="372"/>
      <c r="N117" s="372"/>
      <c r="O117" s="372"/>
      <c r="P117" s="328"/>
      <c r="Q117" s="372"/>
      <c r="R117" s="372"/>
      <c r="S117" s="372"/>
      <c r="T117" s="372"/>
      <c r="U117" s="372"/>
      <c r="V117" s="372"/>
      <c r="W117" s="372"/>
      <c r="X117" s="328"/>
      <c r="Y117" s="328"/>
      <c r="Z117" s="372"/>
      <c r="AA117" s="372"/>
      <c r="AB117" s="372"/>
      <c r="AC117" s="328"/>
      <c r="AD117" s="372"/>
      <c r="AE117" s="372"/>
      <c r="AF117" s="372"/>
      <c r="AG117" s="372"/>
      <c r="AH117" s="372"/>
      <c r="AI117" s="372"/>
      <c r="AJ117" s="372"/>
      <c r="AK117" s="328"/>
      <c r="AL117" s="328"/>
      <c r="AM117" s="372"/>
      <c r="AN117" s="372"/>
      <c r="AO117" s="372"/>
      <c r="AP117" s="328"/>
      <c r="AQ117" s="373"/>
      <c r="AR117" s="373"/>
      <c r="AS117" s="373"/>
      <c r="AT117" s="373"/>
      <c r="AU117" s="373"/>
      <c r="AV117" s="373"/>
      <c r="AW117" s="373"/>
      <c r="AX117" s="329"/>
      <c r="AY117" s="329"/>
      <c r="AZ117" s="373"/>
      <c r="BA117" s="373"/>
      <c r="BB117" s="373"/>
      <c r="BC117" s="329"/>
      <c r="BD117" s="373"/>
      <c r="BE117" s="373"/>
      <c r="BF117" s="373"/>
      <c r="BG117" s="373"/>
      <c r="BH117" s="373"/>
      <c r="BI117" s="373"/>
      <c r="BJ117" s="373"/>
      <c r="BK117" s="329"/>
      <c r="BL117" s="329"/>
      <c r="BM117" s="373"/>
      <c r="BN117" s="373"/>
      <c r="BO117" s="373"/>
      <c r="BP117" s="329"/>
      <c r="BQ117" s="329"/>
    </row>
    <row r="118" spans="2:69" ht="13.5" customHeight="1">
      <c r="B118" s="372"/>
      <c r="C118" s="372"/>
      <c r="D118" s="372"/>
      <c r="E118" s="372"/>
      <c r="F118" s="372"/>
      <c r="G118" s="372"/>
      <c r="H118" s="372"/>
      <c r="I118" s="372"/>
      <c r="J118" s="372"/>
      <c r="K118" s="328"/>
      <c r="L118" s="328"/>
      <c r="M118" s="372"/>
      <c r="N118" s="372"/>
      <c r="O118" s="372"/>
      <c r="P118" s="328"/>
      <c r="Q118" s="372"/>
      <c r="R118" s="372"/>
      <c r="S118" s="372"/>
      <c r="T118" s="372"/>
      <c r="U118" s="372"/>
      <c r="V118" s="372"/>
      <c r="W118" s="372"/>
      <c r="X118" s="328"/>
      <c r="Y118" s="328"/>
      <c r="Z118" s="372"/>
      <c r="AA118" s="372"/>
      <c r="AB118" s="372"/>
      <c r="AC118" s="328"/>
      <c r="AD118" s="372"/>
      <c r="AE118" s="372"/>
      <c r="AF118" s="372"/>
      <c r="AG118" s="372"/>
      <c r="AH118" s="372"/>
      <c r="AI118" s="372"/>
      <c r="AJ118" s="372"/>
      <c r="AK118" s="328"/>
      <c r="AL118" s="328"/>
      <c r="AM118" s="372"/>
      <c r="AN118" s="372"/>
      <c r="AO118" s="372"/>
      <c r="AP118" s="328"/>
      <c r="AQ118" s="373"/>
      <c r="AR118" s="373"/>
      <c r="AS118" s="373"/>
      <c r="AT118" s="373"/>
      <c r="AU118" s="373"/>
      <c r="AV118" s="373"/>
      <c r="AW118" s="373"/>
      <c r="AX118" s="329"/>
      <c r="AY118" s="329"/>
      <c r="AZ118" s="373"/>
      <c r="BA118" s="373"/>
      <c r="BB118" s="373"/>
      <c r="BC118" s="329"/>
      <c r="BD118" s="373"/>
      <c r="BE118" s="373"/>
      <c r="BF118" s="373"/>
      <c r="BG118" s="373"/>
      <c r="BH118" s="373"/>
      <c r="BI118" s="373"/>
      <c r="BJ118" s="373"/>
      <c r="BK118" s="329"/>
      <c r="BL118" s="329"/>
      <c r="BM118" s="373"/>
      <c r="BN118" s="373"/>
      <c r="BO118" s="373"/>
      <c r="BP118" s="329"/>
      <c r="BQ118" s="329"/>
    </row>
    <row r="119" spans="2:69" ht="13.5" customHeight="1">
      <c r="B119" s="372"/>
      <c r="C119" s="372"/>
      <c r="D119" s="372"/>
      <c r="E119" s="372"/>
      <c r="F119" s="372"/>
      <c r="G119" s="372"/>
      <c r="H119" s="372"/>
      <c r="I119" s="372"/>
      <c r="J119" s="372"/>
      <c r="K119" s="328"/>
      <c r="L119" s="328"/>
      <c r="M119" s="372"/>
      <c r="N119" s="372"/>
      <c r="O119" s="372"/>
      <c r="P119" s="328"/>
      <c r="Q119" s="372"/>
      <c r="R119" s="372"/>
      <c r="S119" s="372"/>
      <c r="T119" s="372"/>
      <c r="U119" s="372"/>
      <c r="V119" s="372"/>
      <c r="W119" s="372"/>
      <c r="X119" s="328"/>
      <c r="Y119" s="328"/>
      <c r="Z119" s="372"/>
      <c r="AA119" s="372"/>
      <c r="AB119" s="372"/>
      <c r="AC119" s="328"/>
      <c r="AD119" s="372"/>
      <c r="AE119" s="372"/>
      <c r="AF119" s="372"/>
      <c r="AG119" s="372"/>
      <c r="AH119" s="372"/>
      <c r="AI119" s="372"/>
      <c r="AJ119" s="372"/>
      <c r="AK119" s="328"/>
      <c r="AL119" s="328"/>
      <c r="AM119" s="372"/>
      <c r="AN119" s="372"/>
      <c r="AO119" s="372"/>
      <c r="AP119" s="328"/>
      <c r="AQ119" s="373"/>
      <c r="AR119" s="373"/>
      <c r="AS119" s="373"/>
      <c r="AT119" s="373"/>
      <c r="AU119" s="373"/>
      <c r="AV119" s="373"/>
      <c r="AW119" s="373"/>
      <c r="AX119" s="329"/>
      <c r="AY119" s="329"/>
      <c r="AZ119" s="373"/>
      <c r="BA119" s="373"/>
      <c r="BB119" s="373"/>
      <c r="BC119" s="329"/>
      <c r="BD119" s="373"/>
      <c r="BE119" s="373"/>
      <c r="BF119" s="373"/>
      <c r="BG119" s="373"/>
      <c r="BH119" s="373"/>
      <c r="BI119" s="373"/>
      <c r="BJ119" s="373"/>
      <c r="BK119" s="329"/>
      <c r="BL119" s="329"/>
      <c r="BM119" s="373"/>
      <c r="BN119" s="373"/>
      <c r="BO119" s="373"/>
      <c r="BP119" s="329"/>
      <c r="BQ119" s="329"/>
    </row>
    <row r="120" spans="2:69" ht="13.5" customHeight="1">
      <c r="B120" s="372"/>
      <c r="C120" s="372"/>
      <c r="D120" s="372"/>
      <c r="E120" s="372"/>
      <c r="F120" s="372"/>
      <c r="G120" s="372"/>
      <c r="H120" s="372"/>
      <c r="I120" s="372"/>
      <c r="J120" s="372"/>
      <c r="K120" s="328"/>
      <c r="L120" s="328"/>
      <c r="M120" s="372"/>
      <c r="N120" s="372"/>
      <c r="O120" s="372"/>
      <c r="P120" s="328"/>
      <c r="Q120" s="372"/>
      <c r="R120" s="372"/>
      <c r="S120" s="372"/>
      <c r="T120" s="372"/>
      <c r="U120" s="372"/>
      <c r="V120" s="372"/>
      <c r="W120" s="372"/>
      <c r="X120" s="328"/>
      <c r="Y120" s="328"/>
      <c r="Z120" s="372"/>
      <c r="AA120" s="372"/>
      <c r="AB120" s="372"/>
      <c r="AC120" s="328"/>
      <c r="AD120" s="372"/>
      <c r="AE120" s="372"/>
      <c r="AF120" s="372"/>
      <c r="AG120" s="372"/>
      <c r="AH120" s="372"/>
      <c r="AI120" s="372"/>
      <c r="AJ120" s="372"/>
      <c r="AK120" s="328"/>
      <c r="AL120" s="328"/>
      <c r="AM120" s="372"/>
      <c r="AN120" s="372"/>
      <c r="AO120" s="372"/>
      <c r="AP120" s="328"/>
      <c r="AQ120" s="373"/>
      <c r="AR120" s="373"/>
      <c r="AS120" s="373"/>
      <c r="AT120" s="373"/>
      <c r="AU120" s="373"/>
      <c r="AV120" s="373"/>
      <c r="AW120" s="373"/>
      <c r="AX120" s="329"/>
      <c r="AY120" s="329"/>
      <c r="AZ120" s="373"/>
      <c r="BA120" s="373"/>
      <c r="BB120" s="373"/>
      <c r="BC120" s="329"/>
      <c r="BD120" s="373"/>
      <c r="BE120" s="373"/>
      <c r="BF120" s="373"/>
      <c r="BG120" s="373"/>
      <c r="BH120" s="373"/>
      <c r="BI120" s="373"/>
      <c r="BJ120" s="373"/>
      <c r="BK120" s="329"/>
      <c r="BL120" s="329"/>
      <c r="BM120" s="373"/>
      <c r="BN120" s="373"/>
      <c r="BO120" s="373"/>
      <c r="BP120" s="329"/>
      <c r="BQ120" s="329"/>
    </row>
    <row r="121" spans="2:69" ht="13.5" customHeight="1">
      <c r="B121" s="372"/>
      <c r="C121" s="372"/>
      <c r="D121" s="372"/>
      <c r="E121" s="372"/>
      <c r="F121" s="372"/>
      <c r="G121" s="372"/>
      <c r="H121" s="372"/>
      <c r="I121" s="372"/>
      <c r="J121" s="372"/>
      <c r="K121" s="328"/>
      <c r="L121" s="328"/>
      <c r="M121" s="372"/>
      <c r="N121" s="372"/>
      <c r="O121" s="372"/>
      <c r="P121" s="328"/>
      <c r="Q121" s="372"/>
      <c r="R121" s="372"/>
      <c r="S121" s="372"/>
      <c r="T121" s="372"/>
      <c r="U121" s="372"/>
      <c r="V121" s="372"/>
      <c r="W121" s="372"/>
      <c r="X121" s="328"/>
      <c r="Y121" s="328"/>
      <c r="Z121" s="372"/>
      <c r="AA121" s="372"/>
      <c r="AB121" s="372"/>
      <c r="AC121" s="328"/>
      <c r="AD121" s="372"/>
      <c r="AE121" s="372"/>
      <c r="AF121" s="372"/>
      <c r="AG121" s="372"/>
      <c r="AH121" s="372"/>
      <c r="AI121" s="372"/>
      <c r="AJ121" s="372"/>
      <c r="AK121" s="328"/>
      <c r="AL121" s="328"/>
      <c r="AM121" s="372"/>
      <c r="AN121" s="372"/>
      <c r="AO121" s="372"/>
      <c r="AP121" s="328"/>
      <c r="AQ121" s="373"/>
      <c r="AR121" s="373"/>
      <c r="AS121" s="373"/>
      <c r="AT121" s="373"/>
      <c r="AU121" s="373"/>
      <c r="AV121" s="373"/>
      <c r="AW121" s="373"/>
      <c r="AX121" s="329"/>
      <c r="AY121" s="329"/>
      <c r="AZ121" s="373"/>
      <c r="BA121" s="373"/>
      <c r="BB121" s="373"/>
      <c r="BC121" s="329"/>
      <c r="BD121" s="373"/>
      <c r="BE121" s="373"/>
      <c r="BF121" s="373"/>
      <c r="BG121" s="373"/>
      <c r="BH121" s="373"/>
      <c r="BI121" s="373"/>
      <c r="BJ121" s="373"/>
      <c r="BK121" s="329"/>
      <c r="BL121" s="329"/>
      <c r="BM121" s="373"/>
      <c r="BN121" s="373"/>
      <c r="BO121" s="373"/>
      <c r="BP121" s="329"/>
      <c r="BQ121" s="329"/>
    </row>
    <row r="122" spans="2:69" ht="13.5" customHeight="1">
      <c r="B122" s="372"/>
      <c r="C122" s="372"/>
      <c r="D122" s="372"/>
      <c r="E122" s="372"/>
      <c r="F122" s="372"/>
      <c r="G122" s="372"/>
      <c r="H122" s="372"/>
      <c r="I122" s="372"/>
      <c r="J122" s="372"/>
      <c r="K122" s="328"/>
      <c r="L122" s="328"/>
      <c r="M122" s="372"/>
      <c r="N122" s="372"/>
      <c r="O122" s="372"/>
      <c r="P122" s="328"/>
      <c r="Q122" s="372"/>
      <c r="R122" s="372"/>
      <c r="S122" s="372"/>
      <c r="T122" s="372"/>
      <c r="U122" s="372"/>
      <c r="V122" s="372"/>
      <c r="W122" s="372"/>
      <c r="X122" s="328"/>
      <c r="Y122" s="328"/>
      <c r="Z122" s="372"/>
      <c r="AA122" s="372"/>
      <c r="AB122" s="372"/>
      <c r="AC122" s="328"/>
      <c r="AD122" s="372"/>
      <c r="AE122" s="372"/>
      <c r="AF122" s="372"/>
      <c r="AG122" s="372"/>
      <c r="AH122" s="372"/>
      <c r="AI122" s="372"/>
      <c r="AJ122" s="372"/>
      <c r="AK122" s="328"/>
      <c r="AL122" s="328"/>
      <c r="AM122" s="372"/>
      <c r="AN122" s="372"/>
      <c r="AO122" s="372"/>
      <c r="AP122" s="328"/>
      <c r="AQ122" s="373"/>
      <c r="AR122" s="373"/>
      <c r="AS122" s="373"/>
      <c r="AT122" s="373"/>
      <c r="AU122" s="373"/>
      <c r="AV122" s="373"/>
      <c r="AW122" s="373"/>
      <c r="AX122" s="329"/>
      <c r="AY122" s="329"/>
      <c r="AZ122" s="373"/>
      <c r="BA122" s="373"/>
      <c r="BB122" s="373"/>
      <c r="BC122" s="329"/>
      <c r="BD122" s="373"/>
      <c r="BE122" s="373"/>
      <c r="BF122" s="373"/>
      <c r="BG122" s="373"/>
      <c r="BH122" s="373"/>
      <c r="BI122" s="373"/>
      <c r="BJ122" s="373"/>
      <c r="BK122" s="329"/>
      <c r="BL122" s="329"/>
      <c r="BM122" s="373"/>
      <c r="BN122" s="373"/>
      <c r="BO122" s="373"/>
      <c r="BP122" s="329"/>
      <c r="BQ122" s="329"/>
    </row>
    <row r="123" spans="2:69" ht="13.5" customHeight="1">
      <c r="B123" s="372"/>
      <c r="C123" s="372"/>
      <c r="D123" s="372"/>
      <c r="E123" s="372"/>
      <c r="F123" s="372"/>
      <c r="G123" s="372"/>
      <c r="H123" s="372"/>
      <c r="I123" s="372"/>
      <c r="J123" s="372"/>
      <c r="K123" s="328"/>
      <c r="L123" s="328"/>
      <c r="M123" s="372"/>
      <c r="N123" s="372"/>
      <c r="O123" s="372"/>
      <c r="P123" s="328"/>
      <c r="Q123" s="372"/>
      <c r="R123" s="372"/>
      <c r="S123" s="372"/>
      <c r="T123" s="372"/>
      <c r="U123" s="372"/>
      <c r="V123" s="372"/>
      <c r="W123" s="372"/>
      <c r="X123" s="328"/>
      <c r="Y123" s="328"/>
      <c r="Z123" s="372"/>
      <c r="AA123" s="372"/>
      <c r="AB123" s="372"/>
      <c r="AC123" s="328"/>
      <c r="AD123" s="372"/>
      <c r="AE123" s="372"/>
      <c r="AF123" s="372"/>
      <c r="AG123" s="372"/>
      <c r="AH123" s="372"/>
      <c r="AI123" s="372"/>
      <c r="AJ123" s="372"/>
      <c r="AK123" s="328"/>
      <c r="AL123" s="328"/>
      <c r="AM123" s="372"/>
      <c r="AN123" s="372"/>
      <c r="AO123" s="372"/>
      <c r="AP123" s="328"/>
      <c r="AQ123" s="373"/>
      <c r="AR123" s="373"/>
      <c r="AS123" s="373"/>
      <c r="AT123" s="373"/>
      <c r="AU123" s="373"/>
      <c r="AV123" s="373"/>
      <c r="AW123" s="373"/>
      <c r="AX123" s="329"/>
      <c r="AY123" s="329"/>
      <c r="AZ123" s="373"/>
      <c r="BA123" s="373"/>
      <c r="BB123" s="373"/>
      <c r="BC123" s="329"/>
      <c r="BD123" s="373"/>
      <c r="BE123" s="373"/>
      <c r="BF123" s="373"/>
      <c r="BG123" s="373"/>
      <c r="BH123" s="373"/>
      <c r="BI123" s="373"/>
      <c r="BJ123" s="373"/>
      <c r="BK123" s="329"/>
      <c r="BL123" s="329"/>
      <c r="BM123" s="373"/>
      <c r="BN123" s="373"/>
      <c r="BO123" s="373"/>
      <c r="BP123" s="329"/>
      <c r="BQ123" s="329"/>
    </row>
    <row r="124" spans="2:69" ht="13.5" customHeight="1">
      <c r="B124" s="372"/>
      <c r="C124" s="372"/>
      <c r="D124" s="372"/>
      <c r="E124" s="372"/>
      <c r="F124" s="372"/>
      <c r="G124" s="372"/>
      <c r="H124" s="372"/>
      <c r="I124" s="372"/>
      <c r="J124" s="372"/>
      <c r="K124" s="328"/>
      <c r="L124" s="328"/>
      <c r="M124" s="372"/>
      <c r="N124" s="372"/>
      <c r="O124" s="372"/>
      <c r="P124" s="328"/>
      <c r="Q124" s="372"/>
      <c r="R124" s="372"/>
      <c r="S124" s="372"/>
      <c r="T124" s="372"/>
      <c r="U124" s="372"/>
      <c r="V124" s="372"/>
      <c r="W124" s="372"/>
      <c r="X124" s="328"/>
      <c r="Y124" s="328"/>
      <c r="Z124" s="372"/>
      <c r="AA124" s="372"/>
      <c r="AB124" s="372"/>
      <c r="AC124" s="328"/>
      <c r="AD124" s="372"/>
      <c r="AE124" s="372"/>
      <c r="AF124" s="372"/>
      <c r="AG124" s="372"/>
      <c r="AH124" s="372"/>
      <c r="AI124" s="372"/>
      <c r="AJ124" s="372"/>
      <c r="AK124" s="328"/>
      <c r="AL124" s="328"/>
      <c r="AM124" s="372"/>
      <c r="AN124" s="372"/>
      <c r="AO124" s="372"/>
      <c r="AP124" s="328"/>
      <c r="AQ124" s="373"/>
      <c r="AR124" s="373"/>
      <c r="AS124" s="373"/>
      <c r="AT124" s="373"/>
      <c r="AU124" s="373"/>
      <c r="AV124" s="373"/>
      <c r="AW124" s="373"/>
      <c r="AX124" s="329"/>
      <c r="AY124" s="329"/>
      <c r="AZ124" s="373"/>
      <c r="BA124" s="373"/>
      <c r="BB124" s="373"/>
      <c r="BC124" s="329"/>
      <c r="BD124" s="373"/>
      <c r="BE124" s="373"/>
      <c r="BF124" s="373"/>
      <c r="BG124" s="373"/>
      <c r="BH124" s="373"/>
      <c r="BI124" s="373"/>
      <c r="BJ124" s="373"/>
      <c r="BK124" s="329"/>
      <c r="BL124" s="329"/>
      <c r="BM124" s="373"/>
      <c r="BN124" s="373"/>
      <c r="BO124" s="373"/>
      <c r="BP124" s="329"/>
      <c r="BQ124" s="329"/>
    </row>
    <row r="125" spans="2:69" ht="13.5" customHeight="1">
      <c r="B125" s="372"/>
      <c r="C125" s="372"/>
      <c r="D125" s="372"/>
      <c r="E125" s="372"/>
      <c r="F125" s="372"/>
      <c r="G125" s="372"/>
      <c r="H125" s="372"/>
      <c r="I125" s="372"/>
      <c r="J125" s="372"/>
      <c r="K125" s="328"/>
      <c r="L125" s="328"/>
      <c r="M125" s="372"/>
      <c r="N125" s="372"/>
      <c r="O125" s="372"/>
      <c r="P125" s="328"/>
      <c r="Q125" s="372"/>
      <c r="R125" s="372"/>
      <c r="S125" s="372"/>
      <c r="T125" s="372"/>
      <c r="U125" s="372"/>
      <c r="V125" s="372"/>
      <c r="W125" s="372"/>
      <c r="X125" s="328"/>
      <c r="Y125" s="328"/>
      <c r="Z125" s="372"/>
      <c r="AA125" s="372"/>
      <c r="AB125" s="372"/>
      <c r="AC125" s="328"/>
      <c r="AD125" s="372"/>
      <c r="AE125" s="372"/>
      <c r="AF125" s="372"/>
      <c r="AG125" s="372"/>
      <c r="AH125" s="372"/>
      <c r="AI125" s="372"/>
      <c r="AJ125" s="372"/>
      <c r="AK125" s="328"/>
      <c r="AL125" s="328"/>
      <c r="AM125" s="372"/>
      <c r="AN125" s="372"/>
      <c r="AO125" s="372"/>
      <c r="AP125" s="328"/>
      <c r="AQ125" s="373"/>
      <c r="AR125" s="373"/>
      <c r="AS125" s="373"/>
      <c r="AT125" s="373"/>
      <c r="AU125" s="373"/>
      <c r="AV125" s="373"/>
      <c r="AW125" s="373"/>
      <c r="AX125" s="329"/>
      <c r="AY125" s="329"/>
      <c r="AZ125" s="373"/>
      <c r="BA125" s="373"/>
      <c r="BB125" s="373"/>
      <c r="BC125" s="329"/>
      <c r="BD125" s="373"/>
      <c r="BE125" s="373"/>
      <c r="BF125" s="373"/>
      <c r="BG125" s="373"/>
      <c r="BH125" s="373"/>
      <c r="BI125" s="373"/>
      <c r="BJ125" s="373"/>
      <c r="BK125" s="329"/>
      <c r="BL125" s="329"/>
      <c r="BM125" s="373"/>
      <c r="BN125" s="373"/>
      <c r="BO125" s="373"/>
      <c r="BP125" s="329"/>
      <c r="BQ125" s="329"/>
    </row>
    <row r="126" spans="2:69" ht="13.5" customHeight="1">
      <c r="B126" s="372"/>
      <c r="C126" s="372"/>
      <c r="D126" s="372"/>
      <c r="E126" s="372"/>
      <c r="F126" s="372"/>
      <c r="G126" s="372"/>
      <c r="H126" s="372"/>
      <c r="I126" s="372"/>
      <c r="J126" s="372"/>
      <c r="K126" s="328"/>
      <c r="L126" s="328"/>
      <c r="M126" s="372"/>
      <c r="N126" s="372"/>
      <c r="O126" s="372"/>
      <c r="P126" s="328"/>
      <c r="Q126" s="372"/>
      <c r="R126" s="372"/>
      <c r="S126" s="372"/>
      <c r="T126" s="372"/>
      <c r="U126" s="372"/>
      <c r="V126" s="372"/>
      <c r="W126" s="372"/>
      <c r="X126" s="328"/>
      <c r="Y126" s="328"/>
      <c r="Z126" s="372"/>
      <c r="AA126" s="372"/>
      <c r="AB126" s="372"/>
      <c r="AC126" s="328"/>
      <c r="AD126" s="372"/>
      <c r="AE126" s="372"/>
      <c r="AF126" s="372"/>
      <c r="AG126" s="372"/>
      <c r="AH126" s="372"/>
      <c r="AI126" s="372"/>
      <c r="AJ126" s="372"/>
      <c r="AK126" s="328"/>
      <c r="AL126" s="328"/>
      <c r="AM126" s="372"/>
      <c r="AN126" s="372"/>
      <c r="AO126" s="372"/>
      <c r="AP126" s="328"/>
      <c r="AQ126" s="373"/>
      <c r="AR126" s="373"/>
      <c r="AS126" s="373"/>
      <c r="AT126" s="373"/>
      <c r="AU126" s="373"/>
      <c r="AV126" s="373"/>
      <c r="AW126" s="373"/>
      <c r="AX126" s="329"/>
      <c r="AY126" s="329"/>
      <c r="AZ126" s="373"/>
      <c r="BA126" s="373"/>
      <c r="BB126" s="373"/>
      <c r="BC126" s="329"/>
      <c r="BD126" s="373"/>
      <c r="BE126" s="373"/>
      <c r="BF126" s="373"/>
      <c r="BG126" s="373"/>
      <c r="BH126" s="373"/>
      <c r="BI126" s="373"/>
      <c r="BJ126" s="373"/>
      <c r="BK126" s="329"/>
      <c r="BL126" s="329"/>
      <c r="BM126" s="373"/>
      <c r="BN126" s="373"/>
      <c r="BO126" s="373"/>
      <c r="BP126" s="329"/>
      <c r="BQ126" s="329"/>
    </row>
    <row r="127" spans="2:69" ht="13.5" customHeight="1">
      <c r="B127" s="372"/>
      <c r="C127" s="372"/>
      <c r="D127" s="372"/>
      <c r="E127" s="372"/>
      <c r="F127" s="372"/>
      <c r="G127" s="372"/>
      <c r="H127" s="372"/>
      <c r="I127" s="372"/>
      <c r="J127" s="372"/>
      <c r="K127" s="328"/>
      <c r="L127" s="328"/>
      <c r="M127" s="372"/>
      <c r="N127" s="372"/>
      <c r="O127" s="372"/>
      <c r="P127" s="328"/>
      <c r="Q127" s="372"/>
      <c r="R127" s="372"/>
      <c r="S127" s="372"/>
      <c r="T127" s="372"/>
      <c r="U127" s="372"/>
      <c r="V127" s="372"/>
      <c r="W127" s="372"/>
      <c r="X127" s="328"/>
      <c r="Y127" s="328"/>
      <c r="Z127" s="372"/>
      <c r="AA127" s="372"/>
      <c r="AB127" s="372"/>
      <c r="AC127" s="328"/>
      <c r="AD127" s="372"/>
      <c r="AE127" s="372"/>
      <c r="AF127" s="372"/>
      <c r="AG127" s="372"/>
      <c r="AH127" s="372"/>
      <c r="AI127" s="372"/>
      <c r="AJ127" s="372"/>
      <c r="AK127" s="328"/>
      <c r="AL127" s="328"/>
      <c r="AM127" s="372"/>
      <c r="AN127" s="372"/>
      <c r="AO127" s="372"/>
      <c r="AP127" s="328"/>
      <c r="AQ127" s="373"/>
      <c r="AR127" s="373"/>
      <c r="AS127" s="373"/>
      <c r="AT127" s="373"/>
      <c r="AU127" s="373"/>
      <c r="AV127" s="373"/>
      <c r="AW127" s="373"/>
      <c r="AX127" s="329"/>
      <c r="AY127" s="329"/>
      <c r="AZ127" s="373"/>
      <c r="BA127" s="373"/>
      <c r="BB127" s="373"/>
      <c r="BC127" s="329"/>
      <c r="BD127" s="373"/>
      <c r="BE127" s="373"/>
      <c r="BF127" s="373"/>
      <c r="BG127" s="373"/>
      <c r="BH127" s="373"/>
      <c r="BI127" s="373"/>
      <c r="BJ127" s="373"/>
      <c r="BK127" s="329"/>
      <c r="BL127" s="329"/>
      <c r="BM127" s="373"/>
      <c r="BN127" s="373"/>
      <c r="BO127" s="373"/>
      <c r="BP127" s="329"/>
      <c r="BQ127" s="329"/>
    </row>
    <row r="128" spans="2:69" ht="13.5" customHeight="1">
      <c r="B128" s="372"/>
      <c r="C128" s="372"/>
      <c r="D128" s="372"/>
      <c r="E128" s="372"/>
      <c r="F128" s="372"/>
      <c r="G128" s="372"/>
      <c r="H128" s="372"/>
      <c r="I128" s="372"/>
      <c r="J128" s="372"/>
      <c r="K128" s="328"/>
      <c r="L128" s="328"/>
      <c r="M128" s="372"/>
      <c r="N128" s="372"/>
      <c r="O128" s="372"/>
      <c r="P128" s="328"/>
      <c r="Q128" s="372"/>
      <c r="R128" s="372"/>
      <c r="S128" s="372"/>
      <c r="T128" s="372"/>
      <c r="U128" s="372"/>
      <c r="V128" s="372"/>
      <c r="W128" s="372"/>
      <c r="X128" s="328"/>
      <c r="Y128" s="328"/>
      <c r="Z128" s="372"/>
      <c r="AA128" s="372"/>
      <c r="AB128" s="372"/>
      <c r="AC128" s="328"/>
      <c r="AD128" s="372"/>
      <c r="AE128" s="372"/>
      <c r="AF128" s="372"/>
      <c r="AG128" s="372"/>
      <c r="AH128" s="372"/>
      <c r="AI128" s="372"/>
      <c r="AJ128" s="372"/>
      <c r="AK128" s="328"/>
      <c r="AL128" s="328"/>
      <c r="AM128" s="372"/>
      <c r="AN128" s="372"/>
      <c r="AO128" s="372"/>
      <c r="AP128" s="328"/>
      <c r="AQ128" s="373"/>
      <c r="AR128" s="373"/>
      <c r="AS128" s="373"/>
      <c r="AT128" s="373"/>
      <c r="AU128" s="373"/>
      <c r="AV128" s="373"/>
      <c r="AW128" s="373"/>
      <c r="AX128" s="329"/>
      <c r="AY128" s="329"/>
      <c r="AZ128" s="373"/>
      <c r="BA128" s="373"/>
      <c r="BB128" s="373"/>
      <c r="BC128" s="329"/>
      <c r="BD128" s="373"/>
      <c r="BE128" s="373"/>
      <c r="BF128" s="373"/>
      <c r="BG128" s="373"/>
      <c r="BH128" s="373"/>
      <c r="BI128" s="373"/>
      <c r="BJ128" s="373"/>
      <c r="BK128" s="329"/>
      <c r="BL128" s="329"/>
      <c r="BM128" s="373"/>
      <c r="BN128" s="373"/>
      <c r="BO128" s="373"/>
      <c r="BP128" s="329"/>
      <c r="BQ128" s="329"/>
    </row>
    <row r="129" spans="2:69" ht="13.5" customHeight="1">
      <c r="B129" s="372"/>
      <c r="C129" s="372"/>
      <c r="D129" s="372"/>
      <c r="E129" s="372"/>
      <c r="F129" s="372"/>
      <c r="G129" s="372"/>
      <c r="H129" s="372"/>
      <c r="I129" s="372"/>
      <c r="J129" s="372"/>
      <c r="K129" s="328"/>
      <c r="L129" s="328"/>
      <c r="M129" s="372"/>
      <c r="N129" s="372"/>
      <c r="O129" s="372"/>
      <c r="P129" s="328"/>
      <c r="Q129" s="372"/>
      <c r="R129" s="372"/>
      <c r="S129" s="372"/>
      <c r="T129" s="372"/>
      <c r="U129" s="372"/>
      <c r="V129" s="372"/>
      <c r="W129" s="372"/>
      <c r="X129" s="328"/>
      <c r="Y129" s="328"/>
      <c r="Z129" s="372"/>
      <c r="AA129" s="372"/>
      <c r="AB129" s="372"/>
      <c r="AC129" s="328"/>
      <c r="AD129" s="372"/>
      <c r="AE129" s="372"/>
      <c r="AF129" s="372"/>
      <c r="AG129" s="372"/>
      <c r="AH129" s="372"/>
      <c r="AI129" s="372"/>
      <c r="AJ129" s="372"/>
      <c r="AK129" s="328"/>
      <c r="AL129" s="328"/>
      <c r="AM129" s="372"/>
      <c r="AN129" s="372"/>
      <c r="AO129" s="372"/>
      <c r="AP129" s="328"/>
      <c r="AQ129" s="373"/>
      <c r="AR129" s="373"/>
      <c r="AS129" s="373"/>
      <c r="AT129" s="373"/>
      <c r="AU129" s="373"/>
      <c r="AV129" s="373"/>
      <c r="AW129" s="373"/>
      <c r="AX129" s="329"/>
      <c r="AY129" s="329"/>
      <c r="AZ129" s="373"/>
      <c r="BA129" s="373"/>
      <c r="BB129" s="373"/>
      <c r="BC129" s="329"/>
      <c r="BD129" s="373"/>
      <c r="BE129" s="373"/>
      <c r="BF129" s="373"/>
      <c r="BG129" s="373"/>
      <c r="BH129" s="373"/>
      <c r="BI129" s="373"/>
      <c r="BJ129" s="373"/>
      <c r="BK129" s="329"/>
      <c r="BL129" s="329"/>
      <c r="BM129" s="373"/>
      <c r="BN129" s="373"/>
      <c r="BO129" s="373"/>
      <c r="BP129" s="329"/>
      <c r="BQ129" s="329"/>
    </row>
    <row r="130" spans="2:69" ht="13.5" customHeight="1">
      <c r="B130" s="372"/>
      <c r="C130" s="372"/>
      <c r="D130" s="372"/>
      <c r="E130" s="372"/>
      <c r="F130" s="372"/>
      <c r="G130" s="372"/>
      <c r="H130" s="372"/>
      <c r="I130" s="372"/>
      <c r="J130" s="372"/>
      <c r="K130" s="328"/>
      <c r="L130" s="328"/>
      <c r="M130" s="372"/>
      <c r="N130" s="372"/>
      <c r="O130" s="372"/>
      <c r="P130" s="328"/>
      <c r="Q130" s="372"/>
      <c r="R130" s="372"/>
      <c r="S130" s="372"/>
      <c r="T130" s="372"/>
      <c r="U130" s="372"/>
      <c r="V130" s="372"/>
      <c r="W130" s="372"/>
      <c r="X130" s="328"/>
      <c r="Y130" s="328"/>
      <c r="Z130" s="372"/>
      <c r="AA130" s="372"/>
      <c r="AB130" s="372"/>
      <c r="AC130" s="328"/>
      <c r="AD130" s="372"/>
      <c r="AE130" s="372"/>
      <c r="AF130" s="372"/>
      <c r="AG130" s="372"/>
      <c r="AH130" s="372"/>
      <c r="AI130" s="372"/>
      <c r="AJ130" s="372"/>
      <c r="AK130" s="328"/>
      <c r="AL130" s="328"/>
      <c r="AM130" s="372"/>
      <c r="AN130" s="372"/>
      <c r="AO130" s="372"/>
      <c r="AP130" s="328"/>
      <c r="AQ130" s="373"/>
      <c r="AR130" s="373"/>
      <c r="AS130" s="373"/>
      <c r="AT130" s="373"/>
      <c r="AU130" s="373"/>
      <c r="AV130" s="373"/>
      <c r="AW130" s="373"/>
      <c r="AX130" s="329"/>
      <c r="AY130" s="329"/>
      <c r="AZ130" s="373"/>
      <c r="BA130" s="373"/>
      <c r="BB130" s="373"/>
      <c r="BC130" s="329"/>
      <c r="BD130" s="373"/>
      <c r="BE130" s="373"/>
      <c r="BF130" s="373"/>
      <c r="BG130" s="373"/>
      <c r="BH130" s="373"/>
      <c r="BI130" s="373"/>
      <c r="BJ130" s="373"/>
      <c r="BK130" s="329"/>
      <c r="BL130" s="329"/>
      <c r="BM130" s="373"/>
      <c r="BN130" s="373"/>
      <c r="BO130" s="373"/>
      <c r="BP130" s="329"/>
      <c r="BQ130" s="329"/>
    </row>
    <row r="131" spans="2:69" ht="13.5" customHeight="1">
      <c r="B131" s="372"/>
      <c r="C131" s="372"/>
      <c r="D131" s="372"/>
      <c r="E131" s="372"/>
      <c r="F131" s="372"/>
      <c r="G131" s="372"/>
      <c r="H131" s="372"/>
      <c r="I131" s="372"/>
      <c r="J131" s="372"/>
      <c r="K131" s="328"/>
      <c r="L131" s="328"/>
      <c r="M131" s="372"/>
      <c r="N131" s="372"/>
      <c r="O131" s="372"/>
      <c r="P131" s="328"/>
      <c r="Q131" s="372"/>
      <c r="R131" s="372"/>
      <c r="S131" s="372"/>
      <c r="T131" s="372"/>
      <c r="U131" s="372"/>
      <c r="V131" s="372"/>
      <c r="W131" s="372"/>
      <c r="X131" s="328"/>
      <c r="Y131" s="328"/>
      <c r="Z131" s="372"/>
      <c r="AA131" s="372"/>
      <c r="AB131" s="372"/>
      <c r="AC131" s="328"/>
      <c r="AD131" s="372"/>
      <c r="AE131" s="372"/>
      <c r="AF131" s="372"/>
      <c r="AG131" s="372"/>
      <c r="AH131" s="372"/>
      <c r="AI131" s="372"/>
      <c r="AJ131" s="372"/>
      <c r="AK131" s="328"/>
      <c r="AL131" s="328"/>
      <c r="AM131" s="372"/>
      <c r="AN131" s="372"/>
      <c r="AO131" s="372"/>
      <c r="AP131" s="328"/>
      <c r="AQ131" s="373"/>
      <c r="AR131" s="373"/>
      <c r="AS131" s="373"/>
      <c r="AT131" s="373"/>
      <c r="AU131" s="373"/>
      <c r="AV131" s="373"/>
      <c r="AW131" s="373"/>
      <c r="AX131" s="329"/>
      <c r="AY131" s="329"/>
      <c r="AZ131" s="373"/>
      <c r="BA131" s="373"/>
      <c r="BB131" s="373"/>
      <c r="BC131" s="329"/>
      <c r="BD131" s="373"/>
      <c r="BE131" s="373"/>
      <c r="BF131" s="373"/>
      <c r="BG131" s="373"/>
      <c r="BH131" s="373"/>
      <c r="BI131" s="373"/>
      <c r="BJ131" s="373"/>
      <c r="BK131" s="329"/>
      <c r="BL131" s="329"/>
      <c r="BM131" s="373"/>
      <c r="BN131" s="373"/>
      <c r="BO131" s="373"/>
      <c r="BP131" s="329"/>
      <c r="BQ131" s="329"/>
    </row>
    <row r="132" spans="2:69" ht="13.5" customHeight="1">
      <c r="B132" s="372"/>
      <c r="C132" s="372"/>
      <c r="D132" s="372"/>
      <c r="E132" s="372"/>
      <c r="F132" s="372"/>
      <c r="G132" s="372"/>
      <c r="H132" s="372"/>
      <c r="I132" s="372"/>
      <c r="J132" s="372"/>
      <c r="K132" s="328"/>
      <c r="L132" s="328"/>
      <c r="M132" s="372"/>
      <c r="N132" s="372"/>
      <c r="O132" s="372"/>
      <c r="P132" s="328"/>
      <c r="Q132" s="372"/>
      <c r="R132" s="372"/>
      <c r="S132" s="372"/>
      <c r="T132" s="372"/>
      <c r="U132" s="372"/>
      <c r="V132" s="372"/>
      <c r="W132" s="372"/>
      <c r="X132" s="328"/>
      <c r="Y132" s="328"/>
      <c r="Z132" s="372"/>
      <c r="AA132" s="372"/>
      <c r="AB132" s="372"/>
      <c r="AC132" s="328"/>
      <c r="AD132" s="372"/>
      <c r="AE132" s="372"/>
      <c r="AF132" s="372"/>
      <c r="AG132" s="372"/>
      <c r="AH132" s="372"/>
      <c r="AI132" s="372"/>
      <c r="AJ132" s="372"/>
      <c r="AK132" s="328"/>
      <c r="AL132" s="328"/>
      <c r="AM132" s="372"/>
      <c r="AN132" s="372"/>
      <c r="AO132" s="372"/>
      <c r="AP132" s="328"/>
      <c r="AQ132" s="373"/>
      <c r="AR132" s="373"/>
      <c r="AS132" s="373"/>
      <c r="AT132" s="373"/>
      <c r="AU132" s="373"/>
      <c r="AV132" s="373"/>
      <c r="AW132" s="373"/>
      <c r="AX132" s="329"/>
      <c r="AY132" s="329"/>
      <c r="AZ132" s="373"/>
      <c r="BA132" s="373"/>
      <c r="BB132" s="373"/>
      <c r="BC132" s="329"/>
      <c r="BD132" s="373"/>
      <c r="BE132" s="373"/>
      <c r="BF132" s="373"/>
      <c r="BG132" s="373"/>
      <c r="BH132" s="373"/>
      <c r="BI132" s="373"/>
      <c r="BJ132" s="373"/>
      <c r="BK132" s="329"/>
      <c r="BL132" s="329"/>
      <c r="BM132" s="373"/>
      <c r="BN132" s="373"/>
      <c r="BO132" s="373"/>
      <c r="BP132" s="329"/>
      <c r="BQ132" s="329"/>
    </row>
    <row r="133" spans="2:69" ht="13.5" customHeight="1">
      <c r="B133" s="372"/>
      <c r="C133" s="372"/>
      <c r="D133" s="372"/>
      <c r="E133" s="372"/>
      <c r="F133" s="372"/>
      <c r="G133" s="372"/>
      <c r="H133" s="372"/>
      <c r="I133" s="372"/>
      <c r="J133" s="372"/>
      <c r="K133" s="328"/>
      <c r="L133" s="328"/>
      <c r="M133" s="372"/>
      <c r="N133" s="372"/>
      <c r="O133" s="372"/>
      <c r="P133" s="328"/>
      <c r="Q133" s="372"/>
      <c r="R133" s="372"/>
      <c r="S133" s="372"/>
      <c r="T133" s="372"/>
      <c r="U133" s="372"/>
      <c r="V133" s="372"/>
      <c r="W133" s="372"/>
      <c r="X133" s="328"/>
      <c r="Y133" s="328"/>
      <c r="Z133" s="372"/>
      <c r="AA133" s="372"/>
      <c r="AB133" s="372"/>
      <c r="AC133" s="328"/>
      <c r="AD133" s="372"/>
      <c r="AE133" s="372"/>
      <c r="AF133" s="372"/>
      <c r="AG133" s="372"/>
      <c r="AH133" s="372"/>
      <c r="AI133" s="372"/>
      <c r="AJ133" s="372"/>
      <c r="AK133" s="328"/>
      <c r="AL133" s="328"/>
      <c r="AM133" s="372"/>
      <c r="AN133" s="372"/>
      <c r="AO133" s="372"/>
      <c r="AP133" s="328"/>
      <c r="AQ133" s="373"/>
      <c r="AR133" s="373"/>
      <c r="AS133" s="373"/>
      <c r="AT133" s="373"/>
      <c r="AU133" s="373"/>
      <c r="AV133" s="373"/>
      <c r="AW133" s="373"/>
      <c r="AX133" s="329"/>
      <c r="AY133" s="329"/>
      <c r="AZ133" s="373"/>
      <c r="BA133" s="373"/>
      <c r="BB133" s="373"/>
      <c r="BC133" s="329"/>
      <c r="BD133" s="373"/>
      <c r="BE133" s="373"/>
      <c r="BF133" s="373"/>
      <c r="BG133" s="373"/>
      <c r="BH133" s="373"/>
      <c r="BI133" s="373"/>
      <c r="BJ133" s="373"/>
      <c r="BK133" s="329"/>
      <c r="BL133" s="329"/>
      <c r="BM133" s="373"/>
      <c r="BN133" s="373"/>
      <c r="BO133" s="373"/>
      <c r="BP133" s="329"/>
      <c r="BQ133" s="329"/>
    </row>
    <row r="134" spans="2:69" ht="13.5" customHeight="1">
      <c r="B134" s="372"/>
      <c r="C134" s="372"/>
      <c r="D134" s="372"/>
      <c r="E134" s="372"/>
      <c r="F134" s="372"/>
      <c r="G134" s="372"/>
      <c r="H134" s="372"/>
      <c r="I134" s="372"/>
      <c r="J134" s="372"/>
      <c r="K134" s="328"/>
      <c r="L134" s="328"/>
      <c r="M134" s="372"/>
      <c r="N134" s="372"/>
      <c r="O134" s="372"/>
      <c r="P134" s="328"/>
      <c r="Q134" s="372"/>
      <c r="R134" s="372"/>
      <c r="S134" s="372"/>
      <c r="T134" s="372"/>
      <c r="U134" s="372"/>
      <c r="V134" s="372"/>
      <c r="W134" s="372"/>
      <c r="X134" s="328"/>
      <c r="Y134" s="328"/>
      <c r="Z134" s="372"/>
      <c r="AA134" s="372"/>
      <c r="AB134" s="372"/>
      <c r="AC134" s="328"/>
      <c r="AD134" s="372"/>
      <c r="AE134" s="372"/>
      <c r="AF134" s="372"/>
      <c r="AG134" s="372"/>
      <c r="AH134" s="372"/>
      <c r="AI134" s="372"/>
      <c r="AJ134" s="372"/>
      <c r="AK134" s="328"/>
      <c r="AL134" s="328"/>
      <c r="AM134" s="372"/>
      <c r="AN134" s="372"/>
      <c r="AO134" s="372"/>
      <c r="AP134" s="328"/>
      <c r="AQ134" s="373"/>
      <c r="AR134" s="373"/>
      <c r="AS134" s="373"/>
      <c r="AT134" s="373"/>
      <c r="AU134" s="373"/>
      <c r="AV134" s="373"/>
      <c r="AW134" s="373"/>
      <c r="AX134" s="329"/>
      <c r="AY134" s="329"/>
      <c r="AZ134" s="373"/>
      <c r="BA134" s="373"/>
      <c r="BB134" s="373"/>
      <c r="BC134" s="329"/>
      <c r="BD134" s="373"/>
      <c r="BE134" s="373"/>
      <c r="BF134" s="373"/>
      <c r="BG134" s="373"/>
      <c r="BH134" s="373"/>
      <c r="BI134" s="373"/>
      <c r="BJ134" s="373"/>
      <c r="BK134" s="329"/>
      <c r="BL134" s="329"/>
      <c r="BM134" s="373"/>
      <c r="BN134" s="373"/>
      <c r="BO134" s="373"/>
      <c r="BP134" s="329"/>
      <c r="BQ134" s="329"/>
    </row>
    <row r="135" spans="2:69" ht="13.5" customHeight="1">
      <c r="B135" s="372"/>
      <c r="C135" s="372"/>
      <c r="D135" s="372"/>
      <c r="E135" s="372"/>
      <c r="F135" s="372"/>
      <c r="G135" s="372"/>
      <c r="H135" s="372"/>
      <c r="I135" s="372"/>
      <c r="J135" s="372"/>
      <c r="K135" s="328"/>
      <c r="L135" s="328"/>
      <c r="M135" s="372"/>
      <c r="N135" s="372"/>
      <c r="O135" s="372"/>
      <c r="P135" s="328"/>
      <c r="Q135" s="372"/>
      <c r="R135" s="372"/>
      <c r="S135" s="372"/>
      <c r="T135" s="372"/>
      <c r="U135" s="372"/>
      <c r="V135" s="372"/>
      <c r="W135" s="372"/>
      <c r="X135" s="328"/>
      <c r="Y135" s="328"/>
      <c r="Z135" s="372"/>
      <c r="AA135" s="372"/>
      <c r="AB135" s="372"/>
      <c r="AC135" s="328"/>
      <c r="AD135" s="372"/>
      <c r="AE135" s="372"/>
      <c r="AF135" s="372"/>
      <c r="AG135" s="372"/>
      <c r="AH135" s="372"/>
      <c r="AI135" s="372"/>
      <c r="AJ135" s="372"/>
      <c r="AK135" s="328"/>
      <c r="AL135" s="328"/>
      <c r="AM135" s="372"/>
      <c r="AN135" s="372"/>
      <c r="AO135" s="372"/>
      <c r="AP135" s="328"/>
      <c r="AQ135" s="373"/>
      <c r="AR135" s="373"/>
      <c r="AS135" s="373"/>
      <c r="AT135" s="373"/>
      <c r="AU135" s="373"/>
      <c r="AV135" s="373"/>
      <c r="AW135" s="373"/>
      <c r="AX135" s="329"/>
      <c r="AY135" s="329"/>
      <c r="AZ135" s="373"/>
      <c r="BA135" s="373"/>
      <c r="BB135" s="373"/>
      <c r="BC135" s="329"/>
      <c r="BD135" s="373"/>
      <c r="BE135" s="373"/>
      <c r="BF135" s="373"/>
      <c r="BG135" s="373"/>
      <c r="BH135" s="373"/>
      <c r="BI135" s="373"/>
      <c r="BJ135" s="373"/>
      <c r="BK135" s="329"/>
      <c r="BL135" s="329"/>
      <c r="BM135" s="373"/>
      <c r="BN135" s="373"/>
      <c r="BO135" s="373"/>
      <c r="BP135" s="329"/>
      <c r="BQ135" s="329"/>
    </row>
    <row r="136" spans="2:69" ht="13.5" customHeight="1">
      <c r="B136" s="372"/>
      <c r="C136" s="372"/>
      <c r="D136" s="372"/>
      <c r="E136" s="372"/>
      <c r="F136" s="372"/>
      <c r="G136" s="372"/>
      <c r="H136" s="372"/>
      <c r="I136" s="372"/>
      <c r="J136" s="372"/>
      <c r="K136" s="328"/>
      <c r="L136" s="328"/>
      <c r="M136" s="372"/>
      <c r="N136" s="372"/>
      <c r="O136" s="372"/>
      <c r="P136" s="328"/>
      <c r="Q136" s="372"/>
      <c r="R136" s="372"/>
      <c r="S136" s="372"/>
      <c r="T136" s="372"/>
      <c r="U136" s="372"/>
      <c r="V136" s="372"/>
      <c r="W136" s="372"/>
      <c r="X136" s="328"/>
      <c r="Y136" s="328"/>
      <c r="Z136" s="372"/>
      <c r="AA136" s="372"/>
      <c r="AB136" s="372"/>
      <c r="AC136" s="328"/>
      <c r="AD136" s="372"/>
      <c r="AE136" s="372"/>
      <c r="AF136" s="372"/>
      <c r="AG136" s="372"/>
      <c r="AH136" s="372"/>
      <c r="AI136" s="372"/>
      <c r="AJ136" s="372"/>
      <c r="AK136" s="328"/>
      <c r="AL136" s="328"/>
      <c r="AM136" s="372"/>
      <c r="AN136" s="372"/>
      <c r="AO136" s="372"/>
      <c r="AP136" s="328"/>
      <c r="AQ136" s="373"/>
      <c r="AR136" s="373"/>
      <c r="AS136" s="373"/>
      <c r="AT136" s="373"/>
      <c r="AU136" s="373"/>
      <c r="AV136" s="373"/>
      <c r="AW136" s="373"/>
      <c r="AX136" s="329"/>
      <c r="AY136" s="329"/>
      <c r="AZ136" s="373"/>
      <c r="BA136" s="373"/>
      <c r="BB136" s="373"/>
      <c r="BC136" s="329"/>
      <c r="BD136" s="373"/>
      <c r="BE136" s="373"/>
      <c r="BF136" s="373"/>
      <c r="BG136" s="373"/>
      <c r="BH136" s="373"/>
      <c r="BI136" s="373"/>
      <c r="BJ136" s="373"/>
      <c r="BK136" s="329"/>
      <c r="BL136" s="329"/>
      <c r="BM136" s="373"/>
      <c r="BN136" s="373"/>
      <c r="BO136" s="373"/>
      <c r="BP136" s="329"/>
      <c r="BQ136" s="329"/>
    </row>
    <row r="137" spans="2:69" ht="13.5" customHeight="1">
      <c r="B137" s="372"/>
      <c r="C137" s="372"/>
      <c r="D137" s="372"/>
      <c r="E137" s="372"/>
      <c r="F137" s="372"/>
      <c r="G137" s="372"/>
      <c r="H137" s="372"/>
      <c r="I137" s="372"/>
      <c r="J137" s="372"/>
      <c r="K137" s="328"/>
      <c r="L137" s="328"/>
      <c r="M137" s="372"/>
      <c r="N137" s="372"/>
      <c r="O137" s="372"/>
      <c r="P137" s="328"/>
      <c r="Q137" s="372"/>
      <c r="R137" s="372"/>
      <c r="S137" s="372"/>
      <c r="T137" s="372"/>
      <c r="U137" s="372"/>
      <c r="V137" s="372"/>
      <c r="W137" s="372"/>
      <c r="X137" s="328"/>
      <c r="Y137" s="328"/>
      <c r="Z137" s="372"/>
      <c r="AA137" s="372"/>
      <c r="AB137" s="372"/>
      <c r="AC137" s="328"/>
      <c r="AD137" s="372"/>
      <c r="AE137" s="372"/>
      <c r="AF137" s="372"/>
      <c r="AG137" s="372"/>
      <c r="AH137" s="372"/>
      <c r="AI137" s="372"/>
      <c r="AJ137" s="372"/>
      <c r="AK137" s="328"/>
      <c r="AL137" s="328"/>
      <c r="AM137" s="372"/>
      <c r="AN137" s="372"/>
      <c r="AO137" s="372"/>
      <c r="AP137" s="328"/>
      <c r="AQ137" s="373"/>
      <c r="AR137" s="373"/>
      <c r="AS137" s="373"/>
      <c r="AT137" s="373"/>
      <c r="AU137" s="373"/>
      <c r="AV137" s="373"/>
      <c r="AW137" s="373"/>
      <c r="AX137" s="329"/>
      <c r="AY137" s="329"/>
      <c r="AZ137" s="373"/>
      <c r="BA137" s="373"/>
      <c r="BB137" s="373"/>
      <c r="BC137" s="329"/>
      <c r="BD137" s="373"/>
      <c r="BE137" s="373"/>
      <c r="BF137" s="373"/>
      <c r="BG137" s="373"/>
      <c r="BH137" s="373"/>
      <c r="BI137" s="373"/>
      <c r="BJ137" s="373"/>
      <c r="BK137" s="329"/>
      <c r="BL137" s="329"/>
      <c r="BM137" s="373"/>
      <c r="BN137" s="373"/>
      <c r="BO137" s="373"/>
      <c r="BP137" s="329"/>
      <c r="BQ137" s="329"/>
    </row>
    <row r="138" spans="2:69" ht="13.5" customHeight="1">
      <c r="B138" s="372"/>
      <c r="C138" s="372"/>
      <c r="D138" s="372"/>
      <c r="E138" s="372"/>
      <c r="F138" s="372"/>
      <c r="G138" s="372"/>
      <c r="H138" s="372"/>
      <c r="I138" s="372"/>
      <c r="J138" s="372"/>
      <c r="K138" s="328"/>
      <c r="L138" s="328"/>
      <c r="M138" s="372"/>
      <c r="N138" s="372"/>
      <c r="O138" s="372"/>
      <c r="P138" s="328"/>
      <c r="Q138" s="372"/>
      <c r="R138" s="372"/>
      <c r="S138" s="372"/>
      <c r="T138" s="372"/>
      <c r="U138" s="372"/>
      <c r="V138" s="372"/>
      <c r="W138" s="372"/>
      <c r="X138" s="328"/>
      <c r="Y138" s="328"/>
      <c r="Z138" s="372"/>
      <c r="AA138" s="372"/>
      <c r="AB138" s="372"/>
      <c r="AC138" s="328"/>
      <c r="AD138" s="372"/>
      <c r="AE138" s="372"/>
      <c r="AF138" s="372"/>
      <c r="AG138" s="372"/>
      <c r="AH138" s="372"/>
      <c r="AI138" s="372"/>
      <c r="AJ138" s="372"/>
      <c r="AK138" s="328"/>
      <c r="AL138" s="328"/>
      <c r="AM138" s="372"/>
      <c r="AN138" s="372"/>
      <c r="AO138" s="372"/>
      <c r="AP138" s="328"/>
      <c r="AQ138" s="373"/>
      <c r="AR138" s="373"/>
      <c r="AS138" s="373"/>
      <c r="AT138" s="373"/>
      <c r="AU138" s="373"/>
      <c r="AV138" s="373"/>
      <c r="AW138" s="373"/>
      <c r="AX138" s="329"/>
      <c r="AY138" s="329"/>
      <c r="AZ138" s="373"/>
      <c r="BA138" s="373"/>
      <c r="BB138" s="373"/>
      <c r="BC138" s="329"/>
      <c r="BD138" s="373"/>
      <c r="BE138" s="373"/>
      <c r="BF138" s="373"/>
      <c r="BG138" s="373"/>
      <c r="BH138" s="373"/>
      <c r="BI138" s="373"/>
      <c r="BJ138" s="373"/>
      <c r="BK138" s="329"/>
      <c r="BL138" s="329"/>
      <c r="BM138" s="373"/>
      <c r="BN138" s="373"/>
      <c r="BO138" s="373"/>
      <c r="BP138" s="329"/>
      <c r="BQ138" s="329"/>
    </row>
    <row r="139" spans="2:69" ht="13.5" customHeight="1">
      <c r="B139" s="372"/>
      <c r="C139" s="372"/>
      <c r="D139" s="372"/>
      <c r="E139" s="372"/>
      <c r="F139" s="372"/>
      <c r="G139" s="372"/>
      <c r="H139" s="372"/>
      <c r="I139" s="372"/>
      <c r="J139" s="372"/>
      <c r="K139" s="328"/>
      <c r="L139" s="328"/>
      <c r="M139" s="372"/>
      <c r="N139" s="372"/>
      <c r="O139" s="372"/>
      <c r="P139" s="328"/>
      <c r="Q139" s="372"/>
      <c r="R139" s="372"/>
      <c r="S139" s="372"/>
      <c r="T139" s="372"/>
      <c r="U139" s="372"/>
      <c r="V139" s="372"/>
      <c r="W139" s="372"/>
      <c r="X139" s="328"/>
      <c r="Y139" s="328"/>
      <c r="Z139" s="372"/>
      <c r="AA139" s="372"/>
      <c r="AB139" s="372"/>
      <c r="AC139" s="328"/>
      <c r="AD139" s="372"/>
      <c r="AE139" s="372"/>
      <c r="AF139" s="372"/>
      <c r="AG139" s="372"/>
      <c r="AH139" s="372"/>
      <c r="AI139" s="372"/>
      <c r="AJ139" s="372"/>
      <c r="AK139" s="328"/>
      <c r="AL139" s="328"/>
      <c r="AM139" s="372"/>
      <c r="AN139" s="372"/>
      <c r="AO139" s="372"/>
      <c r="AP139" s="328"/>
      <c r="AQ139" s="373"/>
      <c r="AR139" s="373"/>
      <c r="AS139" s="373"/>
      <c r="AT139" s="373"/>
      <c r="AU139" s="373"/>
      <c r="AV139" s="373"/>
      <c r="AW139" s="373"/>
      <c r="AX139" s="329"/>
      <c r="AY139" s="329"/>
      <c r="AZ139" s="373"/>
      <c r="BA139" s="373"/>
      <c r="BB139" s="373"/>
      <c r="BC139" s="329"/>
      <c r="BD139" s="373"/>
      <c r="BE139" s="373"/>
      <c r="BF139" s="373"/>
      <c r="BG139" s="373"/>
      <c r="BH139" s="373"/>
      <c r="BI139" s="373"/>
      <c r="BJ139" s="373"/>
      <c r="BK139" s="329"/>
      <c r="BL139" s="329"/>
      <c r="BM139" s="373"/>
      <c r="BN139" s="373"/>
      <c r="BO139" s="373"/>
      <c r="BP139" s="329"/>
      <c r="BQ139" s="329"/>
    </row>
    <row r="140" spans="2:69" ht="13.5" customHeight="1">
      <c r="B140" s="372"/>
      <c r="C140" s="372"/>
      <c r="D140" s="372"/>
      <c r="E140" s="372"/>
      <c r="F140" s="372"/>
      <c r="G140" s="372"/>
      <c r="H140" s="372"/>
      <c r="I140" s="372"/>
      <c r="J140" s="372"/>
      <c r="K140" s="328"/>
      <c r="L140" s="328"/>
      <c r="M140" s="372"/>
      <c r="N140" s="372"/>
      <c r="O140" s="372"/>
      <c r="P140" s="328"/>
      <c r="Q140" s="372"/>
      <c r="R140" s="372"/>
      <c r="S140" s="372"/>
      <c r="T140" s="372"/>
      <c r="U140" s="372"/>
      <c r="V140" s="372"/>
      <c r="W140" s="372"/>
      <c r="X140" s="328"/>
      <c r="Y140" s="328"/>
      <c r="Z140" s="372"/>
      <c r="AA140" s="372"/>
      <c r="AB140" s="372"/>
      <c r="AC140" s="328"/>
      <c r="AD140" s="372"/>
      <c r="AE140" s="372"/>
      <c r="AF140" s="372"/>
      <c r="AG140" s="372"/>
      <c r="AH140" s="372"/>
      <c r="AI140" s="372"/>
      <c r="AJ140" s="372"/>
      <c r="AK140" s="328"/>
      <c r="AL140" s="328"/>
      <c r="AM140" s="372"/>
      <c r="AN140" s="372"/>
      <c r="AO140" s="372"/>
      <c r="AP140" s="328"/>
      <c r="AQ140" s="373"/>
      <c r="AR140" s="373"/>
      <c r="AS140" s="373"/>
      <c r="AT140" s="373"/>
      <c r="AU140" s="373"/>
      <c r="AV140" s="373"/>
      <c r="AW140" s="373"/>
      <c r="AX140" s="329"/>
      <c r="AY140" s="329"/>
      <c r="AZ140" s="373"/>
      <c r="BA140" s="373"/>
      <c r="BB140" s="373"/>
      <c r="BC140" s="329"/>
      <c r="BD140" s="373"/>
      <c r="BE140" s="373"/>
      <c r="BF140" s="373"/>
      <c r="BG140" s="373"/>
      <c r="BH140" s="373"/>
      <c r="BI140" s="373"/>
      <c r="BJ140" s="373"/>
      <c r="BK140" s="329"/>
      <c r="BL140" s="329"/>
      <c r="BM140" s="373"/>
      <c r="BN140" s="373"/>
      <c r="BO140" s="373"/>
      <c r="BP140" s="329"/>
      <c r="BQ140" s="329"/>
    </row>
    <row r="141" spans="2:69" ht="13.5" customHeight="1">
      <c r="B141" s="372"/>
      <c r="C141" s="372"/>
      <c r="D141" s="372"/>
      <c r="E141" s="372"/>
      <c r="F141" s="372"/>
      <c r="G141" s="372"/>
      <c r="H141" s="372"/>
      <c r="I141" s="372"/>
      <c r="J141" s="372"/>
      <c r="K141" s="328"/>
      <c r="L141" s="328"/>
      <c r="M141" s="372"/>
      <c r="N141" s="372"/>
      <c r="O141" s="372"/>
      <c r="P141" s="328"/>
      <c r="Q141" s="372"/>
      <c r="R141" s="372"/>
      <c r="S141" s="372"/>
      <c r="T141" s="372"/>
      <c r="U141" s="372"/>
      <c r="V141" s="372"/>
      <c r="W141" s="372"/>
      <c r="X141" s="328"/>
      <c r="Y141" s="328"/>
      <c r="Z141" s="372"/>
      <c r="AA141" s="372"/>
      <c r="AB141" s="372"/>
      <c r="AC141" s="328"/>
      <c r="AD141" s="372"/>
      <c r="AE141" s="372"/>
      <c r="AF141" s="372"/>
      <c r="AG141" s="372"/>
      <c r="AH141" s="372"/>
      <c r="AI141" s="372"/>
      <c r="AJ141" s="372"/>
      <c r="AK141" s="328"/>
      <c r="AL141" s="328"/>
      <c r="AM141" s="372"/>
      <c r="AN141" s="372"/>
      <c r="AO141" s="372"/>
      <c r="AP141" s="328"/>
      <c r="AQ141" s="373"/>
      <c r="AR141" s="373"/>
      <c r="AS141" s="373"/>
      <c r="AT141" s="373"/>
      <c r="AU141" s="373"/>
      <c r="AV141" s="373"/>
      <c r="AW141" s="373"/>
      <c r="AX141" s="329"/>
      <c r="AY141" s="329"/>
      <c r="AZ141" s="373"/>
      <c r="BA141" s="373"/>
      <c r="BB141" s="373"/>
      <c r="BC141" s="329"/>
      <c r="BD141" s="373"/>
      <c r="BE141" s="373"/>
      <c r="BF141" s="373"/>
      <c r="BG141" s="373"/>
      <c r="BH141" s="373"/>
      <c r="BI141" s="373"/>
      <c r="BJ141" s="373"/>
      <c r="BK141" s="329"/>
      <c r="BL141" s="329"/>
      <c r="BM141" s="373"/>
      <c r="BN141" s="373"/>
      <c r="BO141" s="373"/>
      <c r="BP141" s="329"/>
      <c r="BQ141" s="329"/>
    </row>
    <row r="142" spans="2:69" ht="13.5" customHeight="1">
      <c r="B142" s="372"/>
      <c r="C142" s="372"/>
      <c r="D142" s="372"/>
      <c r="E142" s="372"/>
      <c r="F142" s="372"/>
      <c r="G142" s="372"/>
      <c r="H142" s="372"/>
      <c r="I142" s="372"/>
      <c r="J142" s="372"/>
      <c r="K142" s="328"/>
      <c r="L142" s="328"/>
      <c r="M142" s="372"/>
      <c r="N142" s="372"/>
      <c r="O142" s="372"/>
      <c r="P142" s="328"/>
      <c r="Q142" s="372"/>
      <c r="R142" s="372"/>
      <c r="S142" s="372"/>
      <c r="T142" s="372"/>
      <c r="U142" s="372"/>
      <c r="V142" s="372"/>
      <c r="W142" s="372"/>
      <c r="X142" s="328"/>
      <c r="Y142" s="328"/>
      <c r="Z142" s="372"/>
      <c r="AA142" s="372"/>
      <c r="AB142" s="372"/>
      <c r="AC142" s="328"/>
      <c r="AD142" s="372"/>
      <c r="AE142" s="372"/>
      <c r="AF142" s="372"/>
      <c r="AG142" s="372"/>
      <c r="AH142" s="372"/>
      <c r="AI142" s="372"/>
      <c r="AJ142" s="372"/>
      <c r="AK142" s="328"/>
      <c r="AL142" s="328"/>
      <c r="AM142" s="372"/>
      <c r="AN142" s="372"/>
      <c r="AO142" s="372"/>
      <c r="AP142" s="328"/>
      <c r="AQ142" s="373"/>
      <c r="AR142" s="373"/>
      <c r="AS142" s="373"/>
      <c r="AT142" s="373"/>
      <c r="AU142" s="373"/>
      <c r="AV142" s="373"/>
      <c r="AW142" s="373"/>
      <c r="AX142" s="329"/>
      <c r="AY142" s="329"/>
      <c r="AZ142" s="373"/>
      <c r="BA142" s="373"/>
      <c r="BB142" s="373"/>
      <c r="BC142" s="329"/>
      <c r="BD142" s="373"/>
      <c r="BE142" s="373"/>
      <c r="BF142" s="373"/>
      <c r="BG142" s="373"/>
      <c r="BH142" s="373"/>
      <c r="BI142" s="373"/>
      <c r="BJ142" s="373"/>
      <c r="BK142" s="329"/>
      <c r="BL142" s="329"/>
      <c r="BM142" s="373"/>
      <c r="BN142" s="373"/>
      <c r="BO142" s="373"/>
      <c r="BP142" s="329"/>
      <c r="BQ142" s="329"/>
    </row>
    <row r="143" spans="2:69" ht="13.5" customHeight="1">
      <c r="B143" s="372"/>
      <c r="C143" s="372"/>
      <c r="D143" s="372"/>
      <c r="E143" s="372"/>
      <c r="F143" s="372"/>
      <c r="G143" s="372"/>
      <c r="H143" s="372"/>
      <c r="I143" s="372"/>
      <c r="J143" s="372"/>
      <c r="K143" s="328"/>
      <c r="L143" s="328"/>
      <c r="M143" s="372"/>
      <c r="N143" s="372"/>
      <c r="O143" s="372"/>
      <c r="P143" s="328"/>
      <c r="Q143" s="372"/>
      <c r="R143" s="372"/>
      <c r="S143" s="372"/>
      <c r="T143" s="372"/>
      <c r="U143" s="372"/>
      <c r="V143" s="372"/>
      <c r="W143" s="372"/>
      <c r="X143" s="328"/>
      <c r="Y143" s="328"/>
      <c r="Z143" s="372"/>
      <c r="AA143" s="372"/>
      <c r="AB143" s="372"/>
      <c r="AC143" s="328"/>
      <c r="AD143" s="372"/>
      <c r="AE143" s="372"/>
      <c r="AF143" s="372"/>
      <c r="AG143" s="372"/>
      <c r="AH143" s="372"/>
      <c r="AI143" s="372"/>
      <c r="AJ143" s="372"/>
      <c r="AK143" s="328"/>
      <c r="AL143" s="328"/>
      <c r="AM143" s="372"/>
      <c r="AN143" s="372"/>
      <c r="AO143" s="372"/>
      <c r="AP143" s="328"/>
      <c r="AQ143" s="373"/>
      <c r="AR143" s="373"/>
      <c r="AS143" s="373"/>
      <c r="AT143" s="373"/>
      <c r="AU143" s="373"/>
      <c r="AV143" s="373"/>
      <c r="AW143" s="373"/>
      <c r="AX143" s="329"/>
      <c r="AY143" s="329"/>
      <c r="AZ143" s="373"/>
      <c r="BA143" s="373"/>
      <c r="BB143" s="373"/>
      <c r="BC143" s="329"/>
      <c r="BD143" s="373"/>
      <c r="BE143" s="373"/>
      <c r="BF143" s="373"/>
      <c r="BG143" s="373"/>
      <c r="BH143" s="373"/>
      <c r="BI143" s="373"/>
      <c r="BJ143" s="373"/>
      <c r="BK143" s="329"/>
      <c r="BL143" s="329"/>
      <c r="BM143" s="373"/>
      <c r="BN143" s="373"/>
      <c r="BO143" s="373"/>
      <c r="BP143" s="329"/>
      <c r="BQ143" s="329"/>
    </row>
    <row r="144" spans="2:69" ht="13.5" customHeight="1">
      <c r="B144" s="372"/>
      <c r="C144" s="372"/>
      <c r="D144" s="372"/>
      <c r="E144" s="372"/>
      <c r="F144" s="372"/>
      <c r="G144" s="372"/>
      <c r="H144" s="372"/>
      <c r="I144" s="372"/>
      <c r="J144" s="372"/>
      <c r="K144" s="328"/>
      <c r="L144" s="328"/>
      <c r="M144" s="372"/>
      <c r="N144" s="372"/>
      <c r="O144" s="372"/>
      <c r="P144" s="328"/>
      <c r="Q144" s="372"/>
      <c r="R144" s="372"/>
      <c r="S144" s="372"/>
      <c r="T144" s="372"/>
      <c r="U144" s="372"/>
      <c r="V144" s="372"/>
      <c r="W144" s="372"/>
      <c r="X144" s="328"/>
      <c r="Y144" s="328"/>
      <c r="Z144" s="372"/>
      <c r="AA144" s="372"/>
      <c r="AB144" s="372"/>
      <c r="AC144" s="328"/>
      <c r="AD144" s="372"/>
      <c r="AE144" s="372"/>
      <c r="AF144" s="372"/>
      <c r="AG144" s="372"/>
      <c r="AH144" s="372"/>
      <c r="AI144" s="372"/>
      <c r="AJ144" s="372"/>
      <c r="AK144" s="328"/>
      <c r="AL144" s="328"/>
      <c r="AM144" s="372"/>
      <c r="AN144" s="372"/>
      <c r="AO144" s="372"/>
      <c r="AP144" s="328"/>
      <c r="AQ144" s="373"/>
      <c r="AR144" s="373"/>
      <c r="AS144" s="373"/>
      <c r="AT144" s="373"/>
      <c r="AU144" s="373"/>
      <c r="AV144" s="373"/>
      <c r="AW144" s="373"/>
      <c r="AX144" s="329"/>
      <c r="AY144" s="329"/>
      <c r="AZ144" s="373"/>
      <c r="BA144" s="373"/>
      <c r="BB144" s="373"/>
      <c r="BC144" s="329"/>
      <c r="BD144" s="373"/>
      <c r="BE144" s="373"/>
      <c r="BF144" s="373"/>
      <c r="BG144" s="373"/>
      <c r="BH144" s="373"/>
      <c r="BI144" s="373"/>
      <c r="BJ144" s="373"/>
      <c r="BK144" s="329"/>
      <c r="BL144" s="329"/>
      <c r="BM144" s="373"/>
      <c r="BN144" s="373"/>
      <c r="BO144" s="373"/>
      <c r="BP144" s="329"/>
      <c r="BQ144" s="329"/>
    </row>
    <row r="145" spans="2:69" ht="13.5" customHeight="1">
      <c r="B145" s="372"/>
      <c r="C145" s="372"/>
      <c r="D145" s="372"/>
      <c r="E145" s="372"/>
      <c r="F145" s="372"/>
      <c r="G145" s="372"/>
      <c r="H145" s="372"/>
      <c r="I145" s="372"/>
      <c r="J145" s="372"/>
      <c r="K145" s="328"/>
      <c r="L145" s="328"/>
      <c r="M145" s="372"/>
      <c r="N145" s="372"/>
      <c r="O145" s="372"/>
      <c r="P145" s="328"/>
      <c r="Q145" s="372"/>
      <c r="R145" s="372"/>
      <c r="S145" s="372"/>
      <c r="T145" s="372"/>
      <c r="U145" s="372"/>
      <c r="V145" s="372"/>
      <c r="W145" s="372"/>
      <c r="X145" s="328"/>
      <c r="Y145" s="328"/>
      <c r="Z145" s="372"/>
      <c r="AA145" s="372"/>
      <c r="AB145" s="372"/>
      <c r="AC145" s="328"/>
      <c r="AD145" s="372"/>
      <c r="AE145" s="372"/>
      <c r="AF145" s="372"/>
      <c r="AG145" s="372"/>
      <c r="AH145" s="372"/>
      <c r="AI145" s="372"/>
      <c r="AJ145" s="372"/>
      <c r="AK145" s="328"/>
      <c r="AL145" s="328"/>
      <c r="AM145" s="372"/>
      <c r="AN145" s="372"/>
      <c r="AO145" s="372"/>
      <c r="AP145" s="328"/>
      <c r="AQ145" s="373"/>
      <c r="AR145" s="373"/>
      <c r="AS145" s="373"/>
      <c r="AT145" s="373"/>
      <c r="AU145" s="373"/>
      <c r="AV145" s="373"/>
      <c r="AW145" s="373"/>
      <c r="AX145" s="329"/>
      <c r="AY145" s="329"/>
      <c r="AZ145" s="373"/>
      <c r="BA145" s="373"/>
      <c r="BB145" s="373"/>
      <c r="BC145" s="329"/>
      <c r="BD145" s="373"/>
      <c r="BE145" s="373"/>
      <c r="BF145" s="373"/>
      <c r="BG145" s="373"/>
      <c r="BH145" s="373"/>
      <c r="BI145" s="373"/>
      <c r="BJ145" s="373"/>
      <c r="BK145" s="329"/>
      <c r="BL145" s="329"/>
      <c r="BM145" s="373"/>
      <c r="BN145" s="373"/>
      <c r="BO145" s="373"/>
      <c r="BP145" s="329"/>
      <c r="BQ145" s="329"/>
    </row>
    <row r="146" spans="2:69" ht="13.5" customHeight="1">
      <c r="B146" s="372"/>
      <c r="C146" s="372"/>
      <c r="D146" s="372"/>
      <c r="E146" s="372"/>
      <c r="F146" s="372"/>
      <c r="G146" s="372"/>
      <c r="H146" s="372"/>
      <c r="I146" s="372"/>
      <c r="J146" s="372"/>
      <c r="K146" s="328"/>
      <c r="L146" s="328"/>
      <c r="M146" s="372"/>
      <c r="N146" s="372"/>
      <c r="O146" s="372"/>
      <c r="P146" s="328"/>
      <c r="Q146" s="372"/>
      <c r="R146" s="372"/>
      <c r="S146" s="372"/>
      <c r="T146" s="372"/>
      <c r="U146" s="372"/>
      <c r="V146" s="372"/>
      <c r="W146" s="372"/>
      <c r="X146" s="328"/>
      <c r="Y146" s="328"/>
      <c r="Z146" s="372"/>
      <c r="AA146" s="372"/>
      <c r="AB146" s="372"/>
      <c r="AC146" s="328"/>
      <c r="AD146" s="372"/>
      <c r="AE146" s="372"/>
      <c r="AF146" s="372"/>
      <c r="AG146" s="372"/>
      <c r="AH146" s="372"/>
      <c r="AI146" s="372"/>
      <c r="AJ146" s="372"/>
      <c r="AK146" s="328"/>
      <c r="AL146" s="328"/>
      <c r="AM146" s="372"/>
      <c r="AN146" s="372"/>
      <c r="AO146" s="372"/>
      <c r="AP146" s="328"/>
      <c r="AQ146" s="373"/>
      <c r="AR146" s="373"/>
      <c r="AS146" s="373"/>
      <c r="AT146" s="373"/>
      <c r="AU146" s="373"/>
      <c r="AV146" s="373"/>
      <c r="AW146" s="373"/>
      <c r="AX146" s="329"/>
      <c r="AY146" s="329"/>
      <c r="AZ146" s="373"/>
      <c r="BA146" s="373"/>
      <c r="BB146" s="373"/>
      <c r="BC146" s="329"/>
      <c r="BD146" s="373"/>
      <c r="BE146" s="373"/>
      <c r="BF146" s="373"/>
      <c r="BG146" s="373"/>
      <c r="BH146" s="373"/>
      <c r="BI146" s="373"/>
      <c r="BJ146" s="373"/>
      <c r="BK146" s="329"/>
      <c r="BL146" s="329"/>
      <c r="BM146" s="373"/>
      <c r="BN146" s="373"/>
      <c r="BO146" s="373"/>
      <c r="BP146" s="329"/>
      <c r="BQ146" s="329"/>
    </row>
    <row r="147" spans="2:69" ht="13.5" customHeight="1">
      <c r="B147" s="372"/>
      <c r="C147" s="372"/>
      <c r="D147" s="372"/>
      <c r="E147" s="372"/>
      <c r="F147" s="372"/>
      <c r="G147" s="372"/>
      <c r="H147" s="372"/>
      <c r="I147" s="372"/>
      <c r="J147" s="372"/>
      <c r="K147" s="328"/>
      <c r="L147" s="328"/>
      <c r="M147" s="372"/>
      <c r="N147" s="372"/>
      <c r="O147" s="372"/>
      <c r="P147" s="328"/>
      <c r="Q147" s="372"/>
      <c r="R147" s="372"/>
      <c r="S147" s="372"/>
      <c r="T147" s="372"/>
      <c r="U147" s="372"/>
      <c r="V147" s="372"/>
      <c r="W147" s="372"/>
      <c r="X147" s="328"/>
      <c r="Y147" s="328"/>
      <c r="Z147" s="372"/>
      <c r="AA147" s="372"/>
      <c r="AB147" s="372"/>
      <c r="AC147" s="328"/>
      <c r="AD147" s="372"/>
      <c r="AE147" s="372"/>
      <c r="AF147" s="372"/>
      <c r="AG147" s="372"/>
      <c r="AH147" s="372"/>
      <c r="AI147" s="372"/>
      <c r="AJ147" s="372"/>
      <c r="AK147" s="328"/>
      <c r="AL147" s="328"/>
      <c r="AM147" s="372"/>
      <c r="AN147" s="372"/>
      <c r="AO147" s="372"/>
      <c r="AP147" s="328"/>
      <c r="AQ147" s="373"/>
      <c r="AR147" s="373"/>
      <c r="AS147" s="373"/>
      <c r="AT147" s="373"/>
      <c r="AU147" s="373"/>
      <c r="AV147" s="373"/>
      <c r="AW147" s="373"/>
      <c r="AX147" s="329"/>
      <c r="AY147" s="329"/>
      <c r="AZ147" s="373"/>
      <c r="BA147" s="373"/>
      <c r="BB147" s="373"/>
      <c r="BC147" s="329"/>
      <c r="BD147" s="373"/>
      <c r="BE147" s="373"/>
      <c r="BF147" s="373"/>
      <c r="BG147" s="373"/>
      <c r="BH147" s="373"/>
      <c r="BI147" s="373"/>
      <c r="BJ147" s="373"/>
      <c r="BK147" s="329"/>
      <c r="BL147" s="329"/>
      <c r="BM147" s="373"/>
      <c r="BN147" s="373"/>
      <c r="BO147" s="373"/>
      <c r="BP147" s="329"/>
      <c r="BQ147" s="329"/>
    </row>
    <row r="148" spans="2:69" ht="13.5" customHeight="1">
      <c r="B148" s="372"/>
      <c r="C148" s="372"/>
      <c r="D148" s="372"/>
      <c r="E148" s="372"/>
      <c r="F148" s="372"/>
      <c r="G148" s="372"/>
      <c r="H148" s="372"/>
      <c r="I148" s="372"/>
      <c r="J148" s="372"/>
      <c r="K148" s="328"/>
      <c r="L148" s="328"/>
      <c r="M148" s="372"/>
      <c r="N148" s="372"/>
      <c r="O148" s="372"/>
      <c r="P148" s="328"/>
      <c r="Q148" s="372"/>
      <c r="R148" s="372"/>
      <c r="S148" s="372"/>
      <c r="T148" s="372"/>
      <c r="U148" s="372"/>
      <c r="V148" s="372"/>
      <c r="W148" s="372"/>
      <c r="X148" s="328"/>
      <c r="Y148" s="328"/>
      <c r="Z148" s="372"/>
      <c r="AA148" s="372"/>
      <c r="AB148" s="372"/>
      <c r="AC148" s="328"/>
      <c r="AD148" s="372"/>
      <c r="AE148" s="372"/>
      <c r="AF148" s="372"/>
      <c r="AG148" s="372"/>
      <c r="AH148" s="372"/>
      <c r="AI148" s="372"/>
      <c r="AJ148" s="372"/>
      <c r="AK148" s="328"/>
      <c r="AL148" s="328"/>
      <c r="AM148" s="372"/>
      <c r="AN148" s="372"/>
      <c r="AO148" s="372"/>
      <c r="AP148" s="328"/>
      <c r="AQ148" s="373"/>
      <c r="AR148" s="373"/>
      <c r="AS148" s="373"/>
      <c r="AT148" s="373"/>
      <c r="AU148" s="373"/>
      <c r="AV148" s="373"/>
      <c r="AW148" s="373"/>
      <c r="AX148" s="329"/>
      <c r="AY148" s="329"/>
      <c r="AZ148" s="373"/>
      <c r="BA148" s="373"/>
      <c r="BB148" s="373"/>
      <c r="BC148" s="329"/>
      <c r="BD148" s="373"/>
      <c r="BE148" s="373"/>
      <c r="BF148" s="373"/>
      <c r="BG148" s="373"/>
      <c r="BH148" s="373"/>
      <c r="BI148" s="373"/>
      <c r="BJ148" s="373"/>
      <c r="BK148" s="329"/>
      <c r="BL148" s="329"/>
      <c r="BM148" s="373"/>
      <c r="BN148" s="373"/>
      <c r="BO148" s="373"/>
      <c r="BP148" s="329"/>
      <c r="BQ148" s="329"/>
    </row>
    <row r="149" spans="2:69" ht="13.5" customHeight="1">
      <c r="B149" s="372"/>
      <c r="C149" s="372"/>
      <c r="D149" s="372"/>
      <c r="E149" s="372"/>
      <c r="F149" s="372"/>
      <c r="G149" s="372"/>
      <c r="H149" s="372"/>
      <c r="I149" s="372"/>
      <c r="J149" s="372"/>
      <c r="K149" s="328"/>
      <c r="L149" s="328"/>
      <c r="M149" s="372"/>
      <c r="N149" s="372"/>
      <c r="O149" s="372"/>
      <c r="P149" s="328"/>
      <c r="Q149" s="372"/>
      <c r="R149" s="372"/>
      <c r="S149" s="372"/>
      <c r="T149" s="372"/>
      <c r="U149" s="372"/>
      <c r="V149" s="372"/>
      <c r="W149" s="372"/>
      <c r="X149" s="328"/>
      <c r="Y149" s="328"/>
      <c r="Z149" s="372"/>
      <c r="AA149" s="372"/>
      <c r="AB149" s="372"/>
      <c r="AC149" s="328"/>
      <c r="AD149" s="372"/>
      <c r="AE149" s="372"/>
      <c r="AF149" s="372"/>
      <c r="AG149" s="372"/>
      <c r="AH149" s="372"/>
      <c r="AI149" s="372"/>
      <c r="AJ149" s="372"/>
      <c r="AK149" s="328"/>
      <c r="AL149" s="328"/>
      <c r="AM149" s="372"/>
      <c r="AN149" s="372"/>
      <c r="AO149" s="372"/>
      <c r="AP149" s="328"/>
      <c r="AQ149" s="373"/>
      <c r="AR149" s="373"/>
      <c r="AS149" s="373"/>
      <c r="AT149" s="373"/>
      <c r="AU149" s="373"/>
      <c r="AV149" s="373"/>
      <c r="AW149" s="373"/>
      <c r="AX149" s="329"/>
      <c r="AY149" s="329"/>
      <c r="AZ149" s="373"/>
      <c r="BA149" s="373"/>
      <c r="BB149" s="373"/>
      <c r="BC149" s="329"/>
      <c r="BD149" s="373"/>
      <c r="BE149" s="373"/>
      <c r="BF149" s="373"/>
      <c r="BG149" s="373"/>
      <c r="BH149" s="373"/>
      <c r="BI149" s="373"/>
      <c r="BJ149" s="373"/>
      <c r="BK149" s="329"/>
      <c r="BL149" s="329"/>
      <c r="BM149" s="373"/>
      <c r="BN149" s="373"/>
      <c r="BO149" s="373"/>
      <c r="BP149" s="329"/>
      <c r="BQ149" s="329"/>
    </row>
    <row r="150" spans="2:69" ht="13.5" customHeight="1">
      <c r="B150" s="372"/>
      <c r="C150" s="372"/>
      <c r="D150" s="372"/>
      <c r="E150" s="372"/>
      <c r="F150" s="372"/>
      <c r="G150" s="372"/>
      <c r="H150" s="372"/>
      <c r="I150" s="372"/>
      <c r="J150" s="372"/>
      <c r="K150" s="328"/>
      <c r="L150" s="328"/>
      <c r="M150" s="372"/>
      <c r="N150" s="372"/>
      <c r="O150" s="372"/>
      <c r="P150" s="328"/>
      <c r="Q150" s="372"/>
      <c r="R150" s="372"/>
      <c r="S150" s="372"/>
      <c r="T150" s="372"/>
      <c r="U150" s="372"/>
      <c r="V150" s="372"/>
      <c r="W150" s="372"/>
      <c r="X150" s="328"/>
      <c r="Y150" s="328"/>
      <c r="Z150" s="372"/>
      <c r="AA150" s="372"/>
      <c r="AB150" s="372"/>
      <c r="AC150" s="328"/>
      <c r="AD150" s="372"/>
      <c r="AE150" s="372"/>
      <c r="AF150" s="372"/>
      <c r="AG150" s="372"/>
      <c r="AH150" s="372"/>
      <c r="AI150" s="372"/>
      <c r="AJ150" s="372"/>
      <c r="AK150" s="328"/>
      <c r="AL150" s="328"/>
      <c r="AM150" s="372"/>
      <c r="AN150" s="372"/>
      <c r="AO150" s="372"/>
      <c r="AP150" s="328"/>
      <c r="AQ150" s="373"/>
      <c r="AR150" s="373"/>
      <c r="AS150" s="373"/>
      <c r="AT150" s="373"/>
      <c r="AU150" s="373"/>
      <c r="AV150" s="373"/>
      <c r="AW150" s="373"/>
      <c r="AX150" s="329"/>
      <c r="AY150" s="329"/>
      <c r="AZ150" s="373"/>
      <c r="BA150" s="373"/>
      <c r="BB150" s="373"/>
      <c r="BC150" s="329"/>
      <c r="BD150" s="373"/>
      <c r="BE150" s="373"/>
      <c r="BF150" s="373"/>
      <c r="BG150" s="373"/>
      <c r="BH150" s="373"/>
      <c r="BI150" s="373"/>
      <c r="BJ150" s="373"/>
      <c r="BK150" s="329"/>
      <c r="BL150" s="329"/>
      <c r="BM150" s="373"/>
      <c r="BN150" s="373"/>
      <c r="BO150" s="373"/>
      <c r="BP150" s="329"/>
      <c r="BQ150" s="329"/>
    </row>
    <row r="151" spans="2:69" ht="13.5" customHeight="1">
      <c r="B151" s="372"/>
      <c r="C151" s="372"/>
      <c r="D151" s="372"/>
      <c r="E151" s="372"/>
      <c r="F151" s="372"/>
      <c r="G151" s="372"/>
      <c r="H151" s="372"/>
      <c r="I151" s="372"/>
      <c r="J151" s="372"/>
      <c r="K151" s="328"/>
      <c r="L151" s="328"/>
      <c r="M151" s="372"/>
      <c r="N151" s="372"/>
      <c r="O151" s="372"/>
      <c r="P151" s="328"/>
      <c r="Q151" s="372"/>
      <c r="R151" s="372"/>
      <c r="S151" s="372"/>
      <c r="T151" s="372"/>
      <c r="U151" s="372"/>
      <c r="V151" s="372"/>
      <c r="W151" s="372"/>
      <c r="X151" s="328"/>
      <c r="Y151" s="328"/>
      <c r="Z151" s="372"/>
      <c r="AA151" s="372"/>
      <c r="AB151" s="372"/>
      <c r="AC151" s="328"/>
      <c r="AD151" s="372"/>
      <c r="AE151" s="372"/>
      <c r="AF151" s="372"/>
      <c r="AG151" s="372"/>
      <c r="AH151" s="372"/>
      <c r="AI151" s="372"/>
      <c r="AJ151" s="372"/>
      <c r="AK151" s="328"/>
      <c r="AL151" s="328"/>
      <c r="AM151" s="372"/>
      <c r="AN151" s="372"/>
      <c r="AO151" s="372"/>
      <c r="AP151" s="328"/>
      <c r="AQ151" s="373"/>
      <c r="AR151" s="373"/>
      <c r="AS151" s="373"/>
      <c r="AT151" s="373"/>
      <c r="AU151" s="373"/>
      <c r="AV151" s="373"/>
      <c r="AW151" s="373"/>
      <c r="AX151" s="329"/>
      <c r="AY151" s="329"/>
      <c r="AZ151" s="373"/>
      <c r="BA151" s="373"/>
      <c r="BB151" s="373"/>
      <c r="BC151" s="329"/>
      <c r="BD151" s="373"/>
      <c r="BE151" s="373"/>
      <c r="BF151" s="373"/>
      <c r="BG151" s="373"/>
      <c r="BH151" s="373"/>
      <c r="BI151" s="373"/>
      <c r="BJ151" s="373"/>
      <c r="BK151" s="329"/>
      <c r="BL151" s="329"/>
      <c r="BM151" s="373"/>
      <c r="BN151" s="373"/>
      <c r="BO151" s="373"/>
      <c r="BP151" s="329"/>
      <c r="BQ151" s="329"/>
    </row>
    <row r="152" spans="2:69" ht="13.5" customHeight="1">
      <c r="B152" s="372"/>
      <c r="C152" s="372"/>
      <c r="D152" s="372"/>
      <c r="E152" s="372"/>
      <c r="F152" s="372"/>
      <c r="G152" s="372"/>
      <c r="H152" s="372"/>
      <c r="I152" s="372"/>
      <c r="J152" s="372"/>
      <c r="K152" s="328"/>
      <c r="L152" s="328"/>
      <c r="M152" s="372"/>
      <c r="N152" s="372"/>
      <c r="O152" s="372"/>
      <c r="P152" s="328"/>
      <c r="Q152" s="372"/>
      <c r="R152" s="372"/>
      <c r="S152" s="372"/>
      <c r="T152" s="372"/>
      <c r="U152" s="372"/>
      <c r="V152" s="372"/>
      <c r="W152" s="372"/>
      <c r="X152" s="328"/>
      <c r="Y152" s="328"/>
      <c r="Z152" s="372"/>
      <c r="AA152" s="372"/>
      <c r="AB152" s="372"/>
      <c r="AC152" s="328"/>
      <c r="AD152" s="372"/>
      <c r="AE152" s="372"/>
      <c r="AF152" s="372"/>
      <c r="AG152" s="372"/>
      <c r="AH152" s="372"/>
      <c r="AI152" s="372"/>
      <c r="AJ152" s="372"/>
      <c r="AK152" s="328"/>
      <c r="AL152" s="328"/>
      <c r="AM152" s="372"/>
      <c r="AN152" s="372"/>
      <c r="AO152" s="372"/>
      <c r="AP152" s="328"/>
      <c r="AQ152" s="373"/>
      <c r="AR152" s="373"/>
      <c r="AS152" s="373"/>
      <c r="AT152" s="373"/>
      <c r="AU152" s="373"/>
      <c r="AV152" s="373"/>
      <c r="AW152" s="373"/>
      <c r="AX152" s="329"/>
      <c r="AY152" s="329"/>
      <c r="AZ152" s="373"/>
      <c r="BA152" s="373"/>
      <c r="BB152" s="373"/>
      <c r="BC152" s="329"/>
      <c r="BD152" s="373"/>
      <c r="BE152" s="373"/>
      <c r="BF152" s="373"/>
      <c r="BG152" s="373"/>
      <c r="BH152" s="373"/>
      <c r="BI152" s="373"/>
      <c r="BJ152" s="373"/>
      <c r="BK152" s="329"/>
      <c r="BL152" s="329"/>
      <c r="BM152" s="373"/>
      <c r="BN152" s="373"/>
      <c r="BO152" s="373"/>
      <c r="BP152" s="329"/>
      <c r="BQ152" s="329"/>
    </row>
    <row r="153" spans="2:69" ht="13.5" customHeight="1">
      <c r="B153" s="372"/>
      <c r="C153" s="372"/>
      <c r="D153" s="372"/>
      <c r="E153" s="372"/>
      <c r="F153" s="372"/>
      <c r="G153" s="372"/>
      <c r="H153" s="372"/>
      <c r="I153" s="372"/>
      <c r="J153" s="372"/>
      <c r="K153" s="328"/>
      <c r="L153" s="328"/>
      <c r="M153" s="372"/>
      <c r="N153" s="372"/>
      <c r="O153" s="372"/>
      <c r="P153" s="328"/>
      <c r="Q153" s="372"/>
      <c r="R153" s="372"/>
      <c r="S153" s="372"/>
      <c r="T153" s="372"/>
      <c r="U153" s="372"/>
      <c r="V153" s="372"/>
      <c r="W153" s="372"/>
      <c r="X153" s="328"/>
      <c r="Y153" s="328"/>
      <c r="Z153" s="372"/>
      <c r="AA153" s="372"/>
      <c r="AB153" s="372"/>
      <c r="AC153" s="328"/>
      <c r="AD153" s="372"/>
      <c r="AE153" s="372"/>
      <c r="AF153" s="372"/>
      <c r="AG153" s="372"/>
      <c r="AH153" s="372"/>
      <c r="AI153" s="372"/>
      <c r="AJ153" s="372"/>
      <c r="AK153" s="328"/>
      <c r="AL153" s="328"/>
      <c r="AM153" s="372"/>
      <c r="AN153" s="372"/>
      <c r="AO153" s="372"/>
      <c r="AP153" s="328"/>
      <c r="AQ153" s="373"/>
      <c r="AR153" s="373"/>
      <c r="AS153" s="373"/>
      <c r="AT153" s="373"/>
      <c r="AU153" s="373"/>
      <c r="AV153" s="373"/>
      <c r="AW153" s="373"/>
      <c r="AX153" s="329"/>
      <c r="AY153" s="329"/>
      <c r="AZ153" s="373"/>
      <c r="BA153" s="373"/>
      <c r="BB153" s="373"/>
      <c r="BC153" s="329"/>
      <c r="BD153" s="373"/>
      <c r="BE153" s="373"/>
      <c r="BF153" s="373"/>
      <c r="BG153" s="373"/>
      <c r="BH153" s="373"/>
      <c r="BI153" s="373"/>
      <c r="BJ153" s="373"/>
      <c r="BK153" s="329"/>
      <c r="BL153" s="329"/>
      <c r="BM153" s="373"/>
      <c r="BN153" s="373"/>
      <c r="BO153" s="373"/>
      <c r="BP153" s="329"/>
      <c r="BQ153" s="329"/>
    </row>
    <row r="154" spans="2:69" ht="13.5" customHeight="1">
      <c r="B154" s="372"/>
      <c r="C154" s="372"/>
      <c r="D154" s="372"/>
      <c r="E154" s="372"/>
      <c r="F154" s="372"/>
      <c r="G154" s="372"/>
      <c r="H154" s="372"/>
      <c r="I154" s="372"/>
      <c r="J154" s="372"/>
      <c r="K154" s="328"/>
      <c r="L154" s="328"/>
      <c r="M154" s="372"/>
      <c r="N154" s="372"/>
      <c r="O154" s="372"/>
      <c r="P154" s="328"/>
      <c r="Q154" s="372"/>
      <c r="R154" s="372"/>
      <c r="S154" s="372"/>
      <c r="T154" s="372"/>
      <c r="U154" s="372"/>
      <c r="V154" s="372"/>
      <c r="W154" s="372"/>
      <c r="X154" s="328"/>
      <c r="Y154" s="328"/>
      <c r="Z154" s="372"/>
      <c r="AA154" s="372"/>
      <c r="AB154" s="372"/>
      <c r="AC154" s="328"/>
      <c r="AD154" s="372"/>
      <c r="AE154" s="372"/>
      <c r="AF154" s="372"/>
      <c r="AG154" s="372"/>
      <c r="AH154" s="372"/>
      <c r="AI154" s="372"/>
      <c r="AJ154" s="372"/>
      <c r="AK154" s="328"/>
      <c r="AL154" s="328"/>
      <c r="AM154" s="372"/>
      <c r="AN154" s="372"/>
      <c r="AO154" s="372"/>
      <c r="AP154" s="328"/>
      <c r="AQ154" s="373"/>
      <c r="AR154" s="373"/>
      <c r="AS154" s="373"/>
      <c r="AT154" s="373"/>
      <c r="AU154" s="373"/>
      <c r="AV154" s="373"/>
      <c r="AW154" s="373"/>
      <c r="AX154" s="329"/>
      <c r="AY154" s="329"/>
      <c r="AZ154" s="373"/>
      <c r="BA154" s="373"/>
      <c r="BB154" s="373"/>
      <c r="BC154" s="329"/>
      <c r="BD154" s="373"/>
      <c r="BE154" s="373"/>
      <c r="BF154" s="373"/>
      <c r="BG154" s="373"/>
      <c r="BH154" s="373"/>
      <c r="BI154" s="373"/>
      <c r="BJ154" s="373"/>
      <c r="BK154" s="329"/>
      <c r="BL154" s="329"/>
      <c r="BM154" s="373"/>
      <c r="BN154" s="373"/>
      <c r="BO154" s="373"/>
      <c r="BP154" s="329"/>
      <c r="BQ154" s="329"/>
    </row>
    <row r="155" spans="2:69" ht="13.5" customHeight="1">
      <c r="B155" s="372"/>
      <c r="C155" s="372"/>
      <c r="D155" s="372"/>
      <c r="E155" s="372"/>
      <c r="F155" s="372"/>
      <c r="G155" s="372"/>
      <c r="H155" s="372"/>
      <c r="I155" s="372"/>
      <c r="J155" s="372"/>
      <c r="K155" s="328"/>
      <c r="L155" s="328"/>
      <c r="M155" s="372"/>
      <c r="N155" s="372"/>
      <c r="O155" s="372"/>
      <c r="P155" s="328"/>
      <c r="Q155" s="372"/>
      <c r="R155" s="372"/>
      <c r="S155" s="372"/>
      <c r="T155" s="372"/>
      <c r="U155" s="372"/>
      <c r="V155" s="372"/>
      <c r="W155" s="372"/>
      <c r="X155" s="328"/>
      <c r="Y155" s="328"/>
      <c r="Z155" s="372"/>
      <c r="AA155" s="372"/>
      <c r="AB155" s="372"/>
      <c r="AC155" s="328"/>
      <c r="AD155" s="372"/>
      <c r="AE155" s="372"/>
      <c r="AF155" s="372"/>
      <c r="AG155" s="372"/>
      <c r="AH155" s="372"/>
      <c r="AI155" s="372"/>
      <c r="AJ155" s="372"/>
      <c r="AK155" s="328"/>
      <c r="AL155" s="328"/>
      <c r="AM155" s="372"/>
      <c r="AN155" s="372"/>
      <c r="AO155" s="372"/>
      <c r="AP155" s="328"/>
      <c r="AQ155" s="373"/>
      <c r="AR155" s="373"/>
      <c r="AS155" s="373"/>
      <c r="AT155" s="373"/>
      <c r="AU155" s="373"/>
      <c r="AV155" s="373"/>
      <c r="AW155" s="373"/>
      <c r="AX155" s="329"/>
      <c r="AY155" s="329"/>
      <c r="AZ155" s="373"/>
      <c r="BA155" s="373"/>
      <c r="BB155" s="373"/>
      <c r="BC155" s="329"/>
      <c r="BD155" s="373"/>
      <c r="BE155" s="373"/>
      <c r="BF155" s="373"/>
      <c r="BG155" s="373"/>
      <c r="BH155" s="373"/>
      <c r="BI155" s="373"/>
      <c r="BJ155" s="373"/>
      <c r="BK155" s="329"/>
      <c r="BL155" s="329"/>
      <c r="BM155" s="373"/>
      <c r="BN155" s="373"/>
      <c r="BO155" s="373"/>
      <c r="BP155" s="329"/>
      <c r="BQ155" s="329"/>
    </row>
    <row r="156" spans="2:69" ht="13.5" customHeight="1">
      <c r="B156" s="372"/>
      <c r="C156" s="372"/>
      <c r="D156" s="372"/>
      <c r="E156" s="372"/>
      <c r="F156" s="372"/>
      <c r="G156" s="372"/>
      <c r="H156" s="372"/>
      <c r="I156" s="372"/>
      <c r="J156" s="372"/>
      <c r="K156" s="328"/>
      <c r="L156" s="328"/>
      <c r="M156" s="372"/>
      <c r="N156" s="372"/>
      <c r="O156" s="372"/>
      <c r="P156" s="328"/>
      <c r="Q156" s="372"/>
      <c r="R156" s="372"/>
      <c r="S156" s="372"/>
      <c r="T156" s="372"/>
      <c r="U156" s="372"/>
      <c r="V156" s="372"/>
      <c r="W156" s="372"/>
      <c r="X156" s="328"/>
      <c r="Y156" s="328"/>
      <c r="Z156" s="372"/>
      <c r="AA156" s="372"/>
      <c r="AB156" s="372"/>
      <c r="AC156" s="328"/>
      <c r="AD156" s="372"/>
      <c r="AE156" s="372"/>
      <c r="AF156" s="372"/>
      <c r="AG156" s="372"/>
      <c r="AH156" s="372"/>
      <c r="AI156" s="372"/>
      <c r="AJ156" s="372"/>
      <c r="AK156" s="328"/>
      <c r="AL156" s="328"/>
      <c r="AM156" s="372"/>
      <c r="AN156" s="372"/>
      <c r="AO156" s="372"/>
      <c r="AP156" s="328"/>
      <c r="AQ156" s="373"/>
      <c r="AR156" s="373"/>
      <c r="AS156" s="373"/>
      <c r="AT156" s="373"/>
      <c r="AU156" s="373"/>
      <c r="AV156" s="373"/>
      <c r="AW156" s="373"/>
      <c r="AX156" s="329"/>
      <c r="AY156" s="329"/>
      <c r="AZ156" s="373"/>
      <c r="BA156" s="373"/>
      <c r="BB156" s="373"/>
      <c r="BC156" s="329"/>
      <c r="BD156" s="373"/>
      <c r="BE156" s="373"/>
      <c r="BF156" s="373"/>
      <c r="BG156" s="373"/>
      <c r="BH156" s="373"/>
      <c r="BI156" s="373"/>
      <c r="BJ156" s="373"/>
      <c r="BK156" s="329"/>
      <c r="BL156" s="329"/>
      <c r="BM156" s="373"/>
      <c r="BN156" s="373"/>
      <c r="BO156" s="373"/>
      <c r="BP156" s="329"/>
      <c r="BQ156" s="329"/>
    </row>
    <row r="157" spans="2:69" ht="13.5" customHeight="1">
      <c r="B157" s="372"/>
      <c r="C157" s="372"/>
      <c r="D157" s="372"/>
      <c r="E157" s="372"/>
      <c r="F157" s="372"/>
      <c r="G157" s="372"/>
      <c r="H157" s="372"/>
      <c r="I157" s="372"/>
      <c r="J157" s="372"/>
      <c r="K157" s="328"/>
      <c r="L157" s="328"/>
      <c r="M157" s="372"/>
      <c r="N157" s="372"/>
      <c r="O157" s="372"/>
      <c r="P157" s="328"/>
      <c r="Q157" s="372"/>
      <c r="R157" s="372"/>
      <c r="S157" s="372"/>
      <c r="T157" s="372"/>
      <c r="U157" s="372"/>
      <c r="V157" s="372"/>
      <c r="W157" s="372"/>
      <c r="X157" s="328"/>
      <c r="Y157" s="328"/>
      <c r="Z157" s="372"/>
      <c r="AA157" s="372"/>
      <c r="AB157" s="372"/>
      <c r="AC157" s="328"/>
      <c r="AD157" s="372"/>
      <c r="AE157" s="372"/>
      <c r="AF157" s="372"/>
      <c r="AG157" s="372"/>
      <c r="AH157" s="372"/>
      <c r="AI157" s="372"/>
      <c r="AJ157" s="372"/>
      <c r="AK157" s="328"/>
      <c r="AL157" s="328"/>
      <c r="AM157" s="372"/>
      <c r="AN157" s="372"/>
      <c r="AO157" s="372"/>
      <c r="AP157" s="328"/>
      <c r="AQ157" s="373"/>
      <c r="AR157" s="373"/>
      <c r="AS157" s="373"/>
      <c r="AT157" s="373"/>
      <c r="AU157" s="373"/>
      <c r="AV157" s="373"/>
      <c r="AW157" s="373"/>
      <c r="AX157" s="329"/>
      <c r="AY157" s="329"/>
      <c r="AZ157" s="373"/>
      <c r="BA157" s="373"/>
      <c r="BB157" s="373"/>
      <c r="BC157" s="329"/>
      <c r="BD157" s="373"/>
      <c r="BE157" s="373"/>
      <c r="BF157" s="373"/>
      <c r="BG157" s="373"/>
      <c r="BH157" s="373"/>
      <c r="BI157" s="373"/>
      <c r="BJ157" s="373"/>
      <c r="BK157" s="329"/>
      <c r="BL157" s="329"/>
      <c r="BM157" s="373"/>
      <c r="BN157" s="373"/>
      <c r="BO157" s="373"/>
      <c r="BP157" s="329"/>
      <c r="BQ157" s="329"/>
    </row>
    <row r="158" spans="2:69" ht="13.5" customHeight="1">
      <c r="B158" s="372"/>
      <c r="C158" s="372"/>
      <c r="D158" s="372"/>
      <c r="E158" s="372"/>
      <c r="F158" s="372"/>
      <c r="G158" s="372"/>
      <c r="H158" s="372"/>
      <c r="I158" s="372"/>
      <c r="J158" s="372"/>
      <c r="K158" s="328"/>
      <c r="L158" s="328"/>
      <c r="M158" s="372"/>
      <c r="N158" s="372"/>
      <c r="O158" s="372"/>
      <c r="P158" s="328"/>
      <c r="Q158" s="372"/>
      <c r="R158" s="372"/>
      <c r="S158" s="372"/>
      <c r="T158" s="372"/>
      <c r="U158" s="372"/>
      <c r="V158" s="372"/>
      <c r="W158" s="372"/>
      <c r="X158" s="328"/>
      <c r="Y158" s="328"/>
      <c r="Z158" s="372"/>
      <c r="AA158" s="372"/>
      <c r="AB158" s="372"/>
      <c r="AC158" s="328"/>
      <c r="AD158" s="372"/>
      <c r="AE158" s="372"/>
      <c r="AF158" s="372"/>
      <c r="AG158" s="372"/>
      <c r="AH158" s="372"/>
      <c r="AI158" s="372"/>
      <c r="AJ158" s="372"/>
      <c r="AK158" s="328"/>
      <c r="AL158" s="328"/>
      <c r="AM158" s="372"/>
      <c r="AN158" s="372"/>
      <c r="AO158" s="372"/>
      <c r="AP158" s="328"/>
      <c r="AQ158" s="373"/>
      <c r="AR158" s="373"/>
      <c r="AS158" s="373"/>
      <c r="AT158" s="373"/>
      <c r="AU158" s="373"/>
      <c r="AV158" s="373"/>
      <c r="AW158" s="373"/>
      <c r="AX158" s="329"/>
      <c r="AY158" s="329"/>
      <c r="AZ158" s="373"/>
      <c r="BA158" s="373"/>
      <c r="BB158" s="373"/>
      <c r="BC158" s="329"/>
      <c r="BD158" s="373"/>
      <c r="BE158" s="373"/>
      <c r="BF158" s="373"/>
      <c r="BG158" s="373"/>
      <c r="BH158" s="373"/>
      <c r="BI158" s="373"/>
      <c r="BJ158" s="373"/>
      <c r="BK158" s="329"/>
      <c r="BL158" s="329"/>
      <c r="BM158" s="373"/>
      <c r="BN158" s="373"/>
      <c r="BO158" s="373"/>
      <c r="BP158" s="329"/>
      <c r="BQ158" s="329"/>
    </row>
    <row r="159" spans="2:69" ht="13.5" customHeight="1">
      <c r="B159" s="372"/>
      <c r="C159" s="372"/>
      <c r="D159" s="372"/>
      <c r="E159" s="372"/>
      <c r="F159" s="372"/>
      <c r="G159" s="372"/>
      <c r="H159" s="372"/>
      <c r="I159" s="372"/>
      <c r="J159" s="372"/>
      <c r="K159" s="328"/>
      <c r="L159" s="328"/>
      <c r="M159" s="372"/>
      <c r="N159" s="372"/>
      <c r="O159" s="372"/>
      <c r="P159" s="328"/>
      <c r="Q159" s="372"/>
      <c r="R159" s="372"/>
      <c r="S159" s="372"/>
      <c r="T159" s="372"/>
      <c r="U159" s="372"/>
      <c r="V159" s="372"/>
      <c r="W159" s="372"/>
      <c r="X159" s="328"/>
      <c r="Y159" s="328"/>
      <c r="Z159" s="372"/>
      <c r="AA159" s="372"/>
      <c r="AB159" s="372"/>
      <c r="AC159" s="328"/>
      <c r="AD159" s="372"/>
      <c r="AE159" s="372"/>
      <c r="AF159" s="372"/>
      <c r="AG159" s="372"/>
      <c r="AH159" s="372"/>
      <c r="AI159" s="372"/>
      <c r="AJ159" s="372"/>
      <c r="AK159" s="328"/>
      <c r="AL159" s="328"/>
      <c r="AM159" s="372"/>
      <c r="AN159" s="372"/>
      <c r="AO159" s="372"/>
      <c r="AP159" s="328"/>
      <c r="AQ159" s="373"/>
      <c r="AR159" s="373"/>
      <c r="AS159" s="373"/>
      <c r="AT159" s="373"/>
      <c r="AU159" s="373"/>
      <c r="AV159" s="373"/>
      <c r="AW159" s="373"/>
      <c r="AX159" s="329"/>
      <c r="AY159" s="329"/>
      <c r="AZ159" s="373"/>
      <c r="BA159" s="373"/>
      <c r="BB159" s="373"/>
      <c r="BC159" s="329"/>
      <c r="BD159" s="373"/>
      <c r="BE159" s="373"/>
      <c r="BF159" s="373"/>
      <c r="BG159" s="373"/>
      <c r="BH159" s="373"/>
      <c r="BI159" s="373"/>
      <c r="BJ159" s="373"/>
      <c r="BK159" s="329"/>
      <c r="BL159" s="329"/>
      <c r="BM159" s="373"/>
      <c r="BN159" s="373"/>
      <c r="BO159" s="373"/>
      <c r="BP159" s="329"/>
      <c r="BQ159" s="329"/>
    </row>
    <row r="160" spans="2:69" ht="13.5" customHeight="1">
      <c r="B160" s="372"/>
      <c r="C160" s="372"/>
      <c r="D160" s="372"/>
      <c r="E160" s="372"/>
      <c r="F160" s="372"/>
      <c r="G160" s="372"/>
      <c r="H160" s="372"/>
      <c r="I160" s="372"/>
      <c r="J160" s="372"/>
      <c r="K160" s="328"/>
      <c r="L160" s="328"/>
      <c r="M160" s="372"/>
      <c r="N160" s="372"/>
      <c r="O160" s="372"/>
      <c r="P160" s="328"/>
      <c r="Q160" s="372"/>
      <c r="R160" s="372"/>
      <c r="S160" s="372"/>
      <c r="T160" s="372"/>
      <c r="U160" s="372"/>
      <c r="V160" s="372"/>
      <c r="W160" s="372"/>
      <c r="X160" s="328"/>
      <c r="Y160" s="328"/>
      <c r="Z160" s="372"/>
      <c r="AA160" s="372"/>
      <c r="AB160" s="372"/>
      <c r="AC160" s="328"/>
      <c r="AD160" s="372"/>
      <c r="AE160" s="372"/>
      <c r="AF160" s="372"/>
      <c r="AG160" s="372"/>
      <c r="AH160" s="372"/>
      <c r="AI160" s="372"/>
      <c r="AJ160" s="372"/>
      <c r="AK160" s="328"/>
      <c r="AL160" s="328"/>
      <c r="AM160" s="372"/>
      <c r="AN160" s="372"/>
      <c r="AO160" s="372"/>
      <c r="AP160" s="328"/>
      <c r="AQ160" s="373"/>
      <c r="AR160" s="373"/>
      <c r="AS160" s="373"/>
      <c r="AT160" s="373"/>
      <c r="AU160" s="373"/>
      <c r="AV160" s="373"/>
      <c r="AW160" s="373"/>
      <c r="AX160" s="329"/>
      <c r="AY160" s="329"/>
      <c r="AZ160" s="373"/>
      <c r="BA160" s="373"/>
      <c r="BB160" s="373"/>
      <c r="BC160" s="329"/>
      <c r="BD160" s="373"/>
      <c r="BE160" s="373"/>
      <c r="BF160" s="373"/>
      <c r="BG160" s="373"/>
      <c r="BH160" s="373"/>
      <c r="BI160" s="373"/>
      <c r="BJ160" s="373"/>
      <c r="BK160" s="329"/>
      <c r="BL160" s="329"/>
      <c r="BM160" s="373"/>
      <c r="BN160" s="373"/>
      <c r="BO160" s="373"/>
      <c r="BP160" s="329"/>
      <c r="BQ160" s="329"/>
    </row>
    <row r="161" spans="2:69" ht="13.5" customHeight="1">
      <c r="B161" s="372"/>
      <c r="C161" s="372"/>
      <c r="D161" s="372"/>
      <c r="E161" s="372"/>
      <c r="F161" s="372"/>
      <c r="G161" s="372"/>
      <c r="H161" s="372"/>
      <c r="I161" s="372"/>
      <c r="J161" s="372"/>
      <c r="K161" s="328"/>
      <c r="L161" s="328"/>
      <c r="M161" s="372"/>
      <c r="N161" s="372"/>
      <c r="O161" s="372"/>
      <c r="P161" s="328"/>
      <c r="Q161" s="372"/>
      <c r="R161" s="372"/>
      <c r="S161" s="372"/>
      <c r="T161" s="372"/>
      <c r="U161" s="372"/>
      <c r="V161" s="372"/>
      <c r="W161" s="372"/>
      <c r="X161" s="328"/>
      <c r="Y161" s="328"/>
      <c r="Z161" s="372"/>
      <c r="AA161" s="372"/>
      <c r="AB161" s="372"/>
      <c r="AC161" s="328"/>
      <c r="AD161" s="372"/>
      <c r="AE161" s="372"/>
      <c r="AF161" s="372"/>
      <c r="AG161" s="372"/>
      <c r="AH161" s="372"/>
      <c r="AI161" s="372"/>
      <c r="AJ161" s="372"/>
      <c r="AK161" s="328"/>
      <c r="AL161" s="328"/>
      <c r="AM161" s="372"/>
      <c r="AN161" s="372"/>
      <c r="AO161" s="372"/>
      <c r="AP161" s="328"/>
      <c r="AQ161" s="373"/>
      <c r="AR161" s="373"/>
      <c r="AS161" s="373"/>
      <c r="AT161" s="373"/>
      <c r="AU161" s="373"/>
      <c r="AV161" s="373"/>
      <c r="AW161" s="373"/>
      <c r="AX161" s="329"/>
      <c r="AY161" s="329"/>
      <c r="AZ161" s="373"/>
      <c r="BA161" s="373"/>
      <c r="BB161" s="373"/>
      <c r="BC161" s="329"/>
      <c r="BD161" s="373"/>
      <c r="BE161" s="373"/>
      <c r="BF161" s="373"/>
      <c r="BG161" s="373"/>
      <c r="BH161" s="373"/>
      <c r="BI161" s="373"/>
      <c r="BJ161" s="373"/>
      <c r="BK161" s="329"/>
      <c r="BL161" s="329"/>
      <c r="BM161" s="373"/>
      <c r="BN161" s="373"/>
      <c r="BO161" s="373"/>
      <c r="BP161" s="329"/>
      <c r="BQ161" s="329"/>
    </row>
    <row r="162" spans="2:69" ht="13.5" customHeight="1">
      <c r="B162" s="372"/>
      <c r="C162" s="372"/>
      <c r="D162" s="372"/>
      <c r="E162" s="372"/>
      <c r="F162" s="372"/>
      <c r="G162" s="372"/>
      <c r="H162" s="372"/>
      <c r="I162" s="372"/>
      <c r="J162" s="372"/>
      <c r="K162" s="328"/>
      <c r="L162" s="328"/>
      <c r="M162" s="372"/>
      <c r="N162" s="372"/>
      <c r="O162" s="372"/>
      <c r="P162" s="328"/>
      <c r="Q162" s="372"/>
      <c r="R162" s="372"/>
      <c r="S162" s="372"/>
      <c r="T162" s="372"/>
      <c r="U162" s="372"/>
      <c r="V162" s="372"/>
      <c r="W162" s="372"/>
      <c r="X162" s="328"/>
      <c r="Y162" s="328"/>
      <c r="Z162" s="372"/>
      <c r="AA162" s="372"/>
      <c r="AB162" s="372"/>
      <c r="AC162" s="328"/>
      <c r="AD162" s="372"/>
      <c r="AE162" s="372"/>
      <c r="AF162" s="372"/>
      <c r="AG162" s="372"/>
      <c r="AH162" s="372"/>
      <c r="AI162" s="372"/>
      <c r="AJ162" s="372"/>
      <c r="AK162" s="328"/>
      <c r="AL162" s="328"/>
      <c r="AM162" s="372"/>
      <c r="AN162" s="372"/>
      <c r="AO162" s="372"/>
      <c r="AP162" s="328"/>
      <c r="AQ162" s="373"/>
      <c r="AR162" s="373"/>
      <c r="AS162" s="373"/>
      <c r="AT162" s="373"/>
      <c r="AU162" s="373"/>
      <c r="AV162" s="373"/>
      <c r="AW162" s="373"/>
      <c r="AX162" s="329"/>
      <c r="AY162" s="329"/>
      <c r="AZ162" s="373"/>
      <c r="BA162" s="373"/>
      <c r="BB162" s="373"/>
      <c r="BC162" s="329"/>
      <c r="BD162" s="373"/>
      <c r="BE162" s="373"/>
      <c r="BF162" s="373"/>
      <c r="BG162" s="373"/>
      <c r="BH162" s="373"/>
      <c r="BI162" s="373"/>
      <c r="BJ162" s="373"/>
      <c r="BK162" s="329"/>
      <c r="BL162" s="329"/>
      <c r="BM162" s="373"/>
      <c r="BN162" s="373"/>
      <c r="BO162" s="373"/>
      <c r="BP162" s="329"/>
      <c r="BQ162" s="329"/>
    </row>
    <row r="163" spans="2:69" ht="13.5" customHeight="1">
      <c r="B163" s="372"/>
      <c r="C163" s="372"/>
      <c r="D163" s="372"/>
      <c r="E163" s="372"/>
      <c r="F163" s="372"/>
      <c r="G163" s="372"/>
      <c r="H163" s="372"/>
      <c r="I163" s="372"/>
      <c r="J163" s="372"/>
      <c r="K163" s="328"/>
      <c r="L163" s="328"/>
      <c r="M163" s="372"/>
      <c r="N163" s="372"/>
      <c r="O163" s="372"/>
      <c r="P163" s="328"/>
      <c r="Q163" s="372"/>
      <c r="R163" s="372"/>
      <c r="S163" s="372"/>
      <c r="T163" s="372"/>
      <c r="U163" s="372"/>
      <c r="V163" s="372"/>
      <c r="W163" s="372"/>
      <c r="X163" s="328"/>
      <c r="Y163" s="328"/>
      <c r="Z163" s="372"/>
      <c r="AA163" s="372"/>
      <c r="AB163" s="372"/>
      <c r="AC163" s="328"/>
      <c r="AD163" s="372"/>
      <c r="AE163" s="372"/>
      <c r="AF163" s="372"/>
      <c r="AG163" s="372"/>
      <c r="AH163" s="372"/>
      <c r="AI163" s="372"/>
      <c r="AJ163" s="372"/>
      <c r="AK163" s="328"/>
      <c r="AL163" s="328"/>
      <c r="AM163" s="372"/>
      <c r="AN163" s="372"/>
      <c r="AO163" s="372"/>
      <c r="AP163" s="328"/>
      <c r="AQ163" s="373"/>
      <c r="AR163" s="373"/>
      <c r="AS163" s="373"/>
      <c r="AT163" s="373"/>
      <c r="AU163" s="373"/>
      <c r="AV163" s="373"/>
      <c r="AW163" s="373"/>
      <c r="AX163" s="329"/>
      <c r="AY163" s="329"/>
      <c r="AZ163" s="373"/>
      <c r="BA163" s="373"/>
      <c r="BB163" s="373"/>
      <c r="BC163" s="329"/>
      <c r="BD163" s="373"/>
      <c r="BE163" s="373"/>
      <c r="BF163" s="373"/>
      <c r="BG163" s="373"/>
      <c r="BH163" s="373"/>
      <c r="BI163" s="373"/>
      <c r="BJ163" s="373"/>
      <c r="BK163" s="329"/>
      <c r="BL163" s="329"/>
      <c r="BM163" s="373"/>
      <c r="BN163" s="373"/>
      <c r="BO163" s="373"/>
      <c r="BP163" s="329"/>
      <c r="BQ163" s="329"/>
    </row>
    <row r="164" spans="2:69" ht="13.5" customHeight="1">
      <c r="B164" s="328"/>
      <c r="C164" s="328"/>
      <c r="D164" s="372"/>
      <c r="E164" s="372"/>
      <c r="F164" s="372"/>
      <c r="G164" s="372"/>
      <c r="H164" s="372"/>
      <c r="I164" s="372"/>
      <c r="J164" s="372"/>
      <c r="K164" s="328"/>
      <c r="L164" s="328"/>
      <c r="M164" s="372"/>
      <c r="N164" s="372"/>
      <c r="O164" s="372"/>
      <c r="P164" s="328"/>
      <c r="Q164" s="372"/>
      <c r="R164" s="372"/>
      <c r="S164" s="372"/>
      <c r="T164" s="372"/>
      <c r="U164" s="372"/>
      <c r="V164" s="372"/>
      <c r="W164" s="372"/>
      <c r="X164" s="328"/>
      <c r="Y164" s="328"/>
      <c r="Z164" s="372"/>
      <c r="AA164" s="372"/>
      <c r="AB164" s="372"/>
      <c r="AC164" s="328"/>
      <c r="AD164" s="372"/>
      <c r="AE164" s="372"/>
      <c r="AF164" s="372"/>
      <c r="AG164" s="372"/>
      <c r="AH164" s="372"/>
      <c r="AI164" s="372"/>
      <c r="AJ164" s="372"/>
      <c r="AK164" s="328"/>
      <c r="AL164" s="328"/>
      <c r="AM164" s="372"/>
      <c r="AN164" s="372"/>
      <c r="AO164" s="372"/>
      <c r="AP164" s="328"/>
      <c r="AQ164" s="373"/>
      <c r="AR164" s="373"/>
      <c r="AS164" s="373"/>
      <c r="AT164" s="373"/>
      <c r="AU164" s="373"/>
      <c r="AV164" s="373"/>
      <c r="AW164" s="373"/>
      <c r="AX164" s="329"/>
      <c r="AY164" s="329"/>
      <c r="AZ164" s="373"/>
      <c r="BA164" s="373"/>
      <c r="BB164" s="373"/>
      <c r="BC164" s="329"/>
      <c r="BD164" s="373"/>
      <c r="BE164" s="373"/>
      <c r="BF164" s="373"/>
      <c r="BG164" s="373"/>
      <c r="BH164" s="373"/>
      <c r="BI164" s="373"/>
      <c r="BJ164" s="373"/>
      <c r="BK164" s="329"/>
      <c r="BL164" s="329"/>
      <c r="BM164" s="373"/>
      <c r="BN164" s="373"/>
      <c r="BO164" s="373"/>
      <c r="BP164" s="329"/>
      <c r="BQ164" s="329"/>
    </row>
    <row r="165" spans="2:69" ht="13.5" hidden="1" customHeight="1">
      <c r="B165" s="328"/>
      <c r="C165" s="328"/>
      <c r="D165" s="372" t="s">
        <v>20</v>
      </c>
      <c r="E165" s="372" t="s">
        <v>654</v>
      </c>
      <c r="F165" s="372" t="s">
        <v>715</v>
      </c>
      <c r="G165" s="372"/>
      <c r="H165" s="372"/>
      <c r="I165" s="372"/>
      <c r="J165" s="372"/>
      <c r="K165" s="328"/>
      <c r="L165" s="328"/>
      <c r="M165" s="372"/>
      <c r="N165" s="372"/>
      <c r="O165" s="372"/>
      <c r="P165" s="328"/>
      <c r="Q165" s="372"/>
      <c r="R165" s="372"/>
      <c r="S165" s="372"/>
      <c r="T165" s="372"/>
      <c r="U165" s="372"/>
      <c r="V165" s="372"/>
      <c r="W165" s="372"/>
      <c r="X165" s="328"/>
      <c r="Y165" s="328"/>
      <c r="Z165" s="372"/>
      <c r="AA165" s="372"/>
      <c r="AB165" s="372"/>
      <c r="AC165" s="328"/>
      <c r="AD165" s="372"/>
      <c r="AE165" s="372"/>
      <c r="AF165" s="372"/>
      <c r="AG165" s="372"/>
      <c r="AH165" s="372"/>
      <c r="AI165" s="372"/>
      <c r="AJ165" s="372"/>
      <c r="AK165" s="328"/>
      <c r="AL165" s="328"/>
      <c r="AM165" s="372"/>
      <c r="AN165" s="372"/>
      <c r="AO165" s="372"/>
      <c r="AP165" s="328"/>
      <c r="AQ165" s="373"/>
      <c r="AR165" s="373"/>
      <c r="AS165" s="373"/>
      <c r="AT165" s="373"/>
      <c r="AU165" s="373"/>
      <c r="AV165" s="373"/>
      <c r="AW165" s="373"/>
      <c r="AX165" s="329"/>
      <c r="AY165" s="329"/>
      <c r="AZ165" s="373"/>
      <c r="BA165" s="373"/>
      <c r="BB165" s="373"/>
      <c r="BC165" s="329"/>
      <c r="BD165" s="373"/>
      <c r="BE165" s="373"/>
      <c r="BF165" s="373"/>
      <c r="BG165" s="373"/>
      <c r="BH165" s="373"/>
      <c r="BI165" s="373"/>
      <c r="BJ165" s="373"/>
      <c r="BK165" s="329"/>
      <c r="BL165" s="329"/>
      <c r="BM165" s="373"/>
      <c r="BN165" s="373"/>
      <c r="BO165" s="373"/>
      <c r="BP165" s="329"/>
      <c r="BQ165" s="329"/>
    </row>
    <row r="166" spans="2:69" ht="13.5" hidden="1" customHeight="1">
      <c r="B166" s="328" t="s">
        <v>655</v>
      </c>
      <c r="C166" s="328"/>
      <c r="D166" s="372">
        <f>D$22</f>
        <v>0</v>
      </c>
      <c r="E166" s="372">
        <f>D103-D166</f>
        <v>-230440.83333333331</v>
      </c>
      <c r="F166" s="372">
        <f>D166+E166</f>
        <v>-230440.83333333331</v>
      </c>
      <c r="G166" s="372"/>
      <c r="H166" s="372"/>
      <c r="I166" s="372"/>
      <c r="J166" s="372"/>
      <c r="K166" s="328"/>
      <c r="L166" s="328"/>
      <c r="M166" s="372"/>
      <c r="N166" s="372"/>
      <c r="O166" s="372"/>
      <c r="P166" s="328"/>
      <c r="Q166" s="372"/>
      <c r="R166" s="372"/>
      <c r="S166" s="372"/>
      <c r="T166" s="372"/>
      <c r="U166" s="372"/>
      <c r="V166" s="372"/>
      <c r="W166" s="372"/>
      <c r="X166" s="328"/>
      <c r="Y166" s="328"/>
      <c r="Z166" s="372"/>
      <c r="AA166" s="372"/>
      <c r="AB166" s="372"/>
      <c r="AC166" s="328"/>
      <c r="AD166" s="372"/>
      <c r="AE166" s="372"/>
      <c r="AF166" s="372"/>
      <c r="AG166" s="372"/>
      <c r="AH166" s="372"/>
      <c r="AI166" s="372"/>
      <c r="AJ166" s="372"/>
      <c r="AK166" s="328"/>
      <c r="AL166" s="328"/>
      <c r="AM166" s="372"/>
      <c r="AN166" s="372"/>
      <c r="AO166" s="372"/>
      <c r="AP166" s="328"/>
      <c r="AQ166" s="373"/>
      <c r="AR166" s="373"/>
      <c r="AS166" s="373"/>
      <c r="AT166" s="373"/>
      <c r="AU166" s="373"/>
      <c r="AV166" s="373"/>
      <c r="AW166" s="373"/>
      <c r="AX166" s="329"/>
      <c r="AY166" s="329"/>
      <c r="AZ166" s="373"/>
      <c r="BA166" s="373"/>
      <c r="BB166" s="373"/>
      <c r="BC166" s="329"/>
      <c r="BD166" s="373"/>
      <c r="BE166" s="373"/>
      <c r="BF166" s="373"/>
      <c r="BG166" s="373"/>
      <c r="BH166" s="373"/>
      <c r="BI166" s="373"/>
      <c r="BJ166" s="373"/>
      <c r="BK166" s="329"/>
      <c r="BL166" s="329"/>
      <c r="BM166" s="373"/>
      <c r="BN166" s="373"/>
      <c r="BO166" s="373"/>
      <c r="BP166" s="329"/>
      <c r="BQ166" s="329"/>
    </row>
    <row r="167" spans="2:69" ht="13.5" hidden="1" customHeight="1">
      <c r="B167" s="328" t="s">
        <v>656</v>
      </c>
      <c r="C167" s="328"/>
      <c r="D167" s="372">
        <f>E$22</f>
        <v>0</v>
      </c>
      <c r="E167" s="372">
        <f>E103-D167</f>
        <v>-262891.66666666669</v>
      </c>
      <c r="F167" s="372">
        <f t="shared" ref="F167:F226" si="523">D167+E167</f>
        <v>-262891.66666666669</v>
      </c>
      <c r="G167" s="372"/>
      <c r="H167" s="372"/>
      <c r="I167" s="372"/>
      <c r="J167" s="372"/>
      <c r="K167" s="328"/>
      <c r="L167" s="328"/>
      <c r="M167" s="372"/>
      <c r="N167" s="372"/>
      <c r="O167" s="372"/>
      <c r="P167" s="328"/>
      <c r="Q167" s="372"/>
      <c r="R167" s="372"/>
      <c r="S167" s="372"/>
      <c r="T167" s="372"/>
      <c r="U167" s="372"/>
      <c r="V167" s="372"/>
      <c r="W167" s="372"/>
      <c r="X167" s="328"/>
      <c r="Y167" s="328"/>
      <c r="Z167" s="372"/>
      <c r="AA167" s="372"/>
      <c r="AB167" s="372"/>
      <c r="AC167" s="328"/>
      <c r="AD167" s="372"/>
      <c r="AE167" s="372"/>
      <c r="AF167" s="372"/>
      <c r="AG167" s="372"/>
      <c r="AH167" s="372"/>
      <c r="AI167" s="372"/>
      <c r="AJ167" s="372"/>
      <c r="AK167" s="328"/>
      <c r="AL167" s="328"/>
      <c r="AM167" s="372"/>
      <c r="AN167" s="372"/>
      <c r="AO167" s="372"/>
      <c r="AP167" s="328"/>
      <c r="AQ167" s="373"/>
      <c r="AR167" s="373"/>
      <c r="AS167" s="373"/>
      <c r="AT167" s="373"/>
      <c r="AU167" s="373"/>
      <c r="AV167" s="373"/>
      <c r="AW167" s="373"/>
      <c r="AX167" s="329"/>
      <c r="AY167" s="329"/>
      <c r="AZ167" s="373"/>
      <c r="BA167" s="373"/>
      <c r="BB167" s="373"/>
      <c r="BC167" s="329"/>
      <c r="BD167" s="373"/>
      <c r="BE167" s="373"/>
      <c r="BF167" s="373"/>
      <c r="BG167" s="373"/>
      <c r="BH167" s="373"/>
      <c r="BI167" s="373"/>
      <c r="BJ167" s="373"/>
      <c r="BK167" s="329"/>
      <c r="BL167" s="329"/>
      <c r="BM167" s="373"/>
      <c r="BN167" s="373"/>
      <c r="BO167" s="373"/>
      <c r="BP167" s="329"/>
      <c r="BQ167" s="329"/>
    </row>
    <row r="168" spans="2:69" ht="13.5" hidden="1" customHeight="1">
      <c r="B168" s="328" t="s">
        <v>657</v>
      </c>
      <c r="C168" s="328"/>
      <c r="D168" s="372">
        <f>F$22</f>
        <v>0</v>
      </c>
      <c r="E168" s="372">
        <f>F103-D168</f>
        <v>-282181.41666666663</v>
      </c>
      <c r="F168" s="372">
        <f t="shared" si="523"/>
        <v>-282181.41666666663</v>
      </c>
      <c r="G168" s="372"/>
      <c r="H168" s="372"/>
      <c r="I168" s="372"/>
      <c r="J168" s="372"/>
      <c r="K168" s="328"/>
      <c r="L168" s="328"/>
      <c r="M168" s="372"/>
      <c r="N168" s="372"/>
      <c r="O168" s="372"/>
      <c r="P168" s="328"/>
      <c r="Q168" s="372"/>
      <c r="R168" s="372"/>
      <c r="S168" s="372"/>
      <c r="T168" s="372"/>
      <c r="U168" s="372"/>
      <c r="V168" s="372"/>
      <c r="W168" s="372"/>
      <c r="X168" s="328"/>
      <c r="Y168" s="328"/>
      <c r="Z168" s="372"/>
      <c r="AA168" s="372"/>
      <c r="AB168" s="372"/>
      <c r="AC168" s="328"/>
      <c r="AD168" s="372"/>
      <c r="AE168" s="372"/>
      <c r="AF168" s="372"/>
      <c r="AG168" s="372"/>
      <c r="AH168" s="372"/>
      <c r="AI168" s="372"/>
      <c r="AJ168" s="372"/>
      <c r="AK168" s="328"/>
      <c r="AL168" s="328"/>
      <c r="AM168" s="372"/>
      <c r="AN168" s="372"/>
      <c r="AO168" s="372"/>
      <c r="AP168" s="328"/>
      <c r="AQ168" s="373"/>
      <c r="AR168" s="373"/>
      <c r="AS168" s="373"/>
      <c r="AT168" s="373"/>
      <c r="AU168" s="373"/>
      <c r="AV168" s="373"/>
      <c r="AW168" s="373"/>
      <c r="AX168" s="329"/>
      <c r="AY168" s="329"/>
      <c r="AZ168" s="373"/>
      <c r="BA168" s="373"/>
      <c r="BB168" s="373"/>
      <c r="BC168" s="329"/>
      <c r="BD168" s="373"/>
      <c r="BE168" s="373"/>
      <c r="BF168" s="373"/>
      <c r="BG168" s="373"/>
      <c r="BH168" s="373"/>
      <c r="BI168" s="373"/>
      <c r="BJ168" s="373"/>
      <c r="BK168" s="329"/>
      <c r="BL168" s="329"/>
      <c r="BM168" s="373"/>
      <c r="BN168" s="373"/>
      <c r="BO168" s="373"/>
      <c r="BP168" s="329"/>
      <c r="BQ168" s="329"/>
    </row>
    <row r="169" spans="2:69" ht="13.5" hidden="1" customHeight="1">
      <c r="B169" s="328" t="s">
        <v>658</v>
      </c>
      <c r="C169" s="328"/>
      <c r="D169" s="372">
        <f>G$22</f>
        <v>0</v>
      </c>
      <c r="E169" s="372">
        <f>G103-D169</f>
        <v>-324693.60416666663</v>
      </c>
      <c r="F169" s="372">
        <f t="shared" si="523"/>
        <v>-324693.60416666663</v>
      </c>
      <c r="G169" s="372"/>
      <c r="H169" s="372"/>
      <c r="I169" s="372"/>
      <c r="J169" s="372"/>
      <c r="K169" s="328"/>
      <c r="L169" s="328"/>
      <c r="M169" s="372"/>
      <c r="N169" s="372"/>
      <c r="O169" s="372"/>
      <c r="P169" s="328"/>
      <c r="Q169" s="372"/>
      <c r="R169" s="372"/>
      <c r="S169" s="372"/>
      <c r="T169" s="372"/>
      <c r="U169" s="372"/>
      <c r="V169" s="372"/>
      <c r="W169" s="372"/>
      <c r="X169" s="328"/>
      <c r="Y169" s="328"/>
      <c r="Z169" s="372"/>
      <c r="AA169" s="372"/>
      <c r="AB169" s="372"/>
      <c r="AC169" s="328"/>
      <c r="AD169" s="372"/>
      <c r="AE169" s="372"/>
      <c r="AF169" s="372"/>
      <c r="AG169" s="372"/>
      <c r="AH169" s="372"/>
      <c r="AI169" s="372"/>
      <c r="AJ169" s="372"/>
      <c r="AK169" s="328"/>
      <c r="AL169" s="328"/>
      <c r="AM169" s="372"/>
      <c r="AN169" s="372"/>
      <c r="AO169" s="372"/>
      <c r="AP169" s="328"/>
      <c r="AQ169" s="373"/>
      <c r="AR169" s="373"/>
      <c r="AS169" s="373"/>
      <c r="AT169" s="373"/>
      <c r="AU169" s="373"/>
      <c r="AV169" s="373"/>
      <c r="AW169" s="373"/>
      <c r="AX169" s="329"/>
      <c r="AY169" s="329"/>
      <c r="AZ169" s="373"/>
      <c r="BA169" s="373"/>
      <c r="BB169" s="373"/>
      <c r="BC169" s="329"/>
      <c r="BD169" s="373"/>
      <c r="BE169" s="373"/>
      <c r="BF169" s="373"/>
      <c r="BG169" s="373"/>
      <c r="BH169" s="373"/>
      <c r="BI169" s="373"/>
      <c r="BJ169" s="373"/>
      <c r="BK169" s="329"/>
      <c r="BL169" s="329"/>
      <c r="BM169" s="373"/>
      <c r="BN169" s="373"/>
      <c r="BO169" s="373"/>
      <c r="BP169" s="329"/>
      <c r="BQ169" s="329"/>
    </row>
    <row r="170" spans="2:69" ht="13.5" hidden="1" customHeight="1">
      <c r="B170" s="328" t="s">
        <v>659</v>
      </c>
      <c r="C170" s="328"/>
      <c r="D170" s="372">
        <f>H$22</f>
        <v>0</v>
      </c>
      <c r="E170" s="433">
        <f>H$103-D170</f>
        <v>-322007.42604166665</v>
      </c>
      <c r="F170" s="372">
        <f t="shared" si="523"/>
        <v>-322007.42604166665</v>
      </c>
      <c r="G170" s="328"/>
      <c r="H170" s="328"/>
      <c r="I170" s="328"/>
      <c r="J170" s="328"/>
      <c r="K170" s="328"/>
      <c r="L170" s="328"/>
      <c r="M170" s="328"/>
      <c r="N170" s="328"/>
      <c r="O170" s="328"/>
      <c r="P170" s="328"/>
      <c r="Q170" s="328"/>
      <c r="R170" s="328"/>
      <c r="S170" s="328"/>
      <c r="T170" s="328"/>
      <c r="U170" s="328"/>
      <c r="V170" s="328"/>
      <c r="W170" s="328"/>
      <c r="X170" s="328"/>
      <c r="Y170" s="328"/>
      <c r="Z170" s="328"/>
      <c r="AA170" s="328"/>
      <c r="AB170" s="328"/>
      <c r="AC170" s="328"/>
      <c r="AD170" s="328"/>
      <c r="AE170" s="328"/>
      <c r="AF170" s="328"/>
      <c r="AG170" s="328"/>
      <c r="AH170" s="328"/>
      <c r="AI170" s="328"/>
      <c r="AJ170" s="328"/>
      <c r="AK170" s="328"/>
      <c r="AL170" s="328"/>
      <c r="AM170" s="328"/>
      <c r="AN170" s="328"/>
      <c r="AO170" s="328"/>
      <c r="AP170" s="328"/>
      <c r="AQ170" s="329"/>
      <c r="AR170" s="329"/>
      <c r="AS170" s="329"/>
      <c r="AT170" s="329"/>
      <c r="AU170" s="329"/>
      <c r="AV170" s="329"/>
      <c r="AW170" s="329"/>
      <c r="AX170" s="329"/>
      <c r="AY170" s="329"/>
      <c r="AZ170" s="329"/>
      <c r="BA170" s="329"/>
      <c r="BB170" s="329"/>
      <c r="BC170" s="329"/>
      <c r="BD170" s="329"/>
      <c r="BE170" s="329"/>
      <c r="BF170" s="329"/>
      <c r="BG170" s="329"/>
      <c r="BH170" s="329"/>
      <c r="BI170" s="329"/>
      <c r="BJ170" s="329"/>
      <c r="BK170" s="329"/>
      <c r="BL170" s="329"/>
      <c r="BM170" s="329"/>
      <c r="BN170" s="329"/>
      <c r="BO170" s="329"/>
      <c r="BP170" s="329"/>
      <c r="BQ170" s="329"/>
    </row>
    <row r="171" spans="2:69" ht="13.5" hidden="1" customHeight="1">
      <c r="B171" s="328" t="s">
        <v>660</v>
      </c>
      <c r="C171" s="328"/>
      <c r="D171" s="372">
        <f>I$22</f>
        <v>0</v>
      </c>
      <c r="E171" s="433">
        <f>I$103-D171</f>
        <v>-320079.93901041668</v>
      </c>
      <c r="F171" s="372">
        <f t="shared" si="523"/>
        <v>-320079.93901041668</v>
      </c>
      <c r="G171" s="328"/>
      <c r="H171" s="328"/>
      <c r="I171" s="328"/>
      <c r="J171" s="328"/>
      <c r="K171" s="328"/>
      <c r="L171" s="328"/>
      <c r="M171" s="328"/>
      <c r="N171" s="328"/>
      <c r="O171" s="328"/>
      <c r="P171" s="328"/>
      <c r="Q171" s="328"/>
      <c r="R171" s="328"/>
      <c r="S171" s="328"/>
      <c r="T171" s="328"/>
      <c r="U171" s="328"/>
      <c r="V171" s="328"/>
      <c r="W171" s="328"/>
      <c r="X171" s="328"/>
      <c r="Y171" s="328"/>
      <c r="Z171" s="328"/>
      <c r="AA171" s="328"/>
      <c r="AB171" s="328"/>
      <c r="AC171" s="328"/>
      <c r="AD171" s="328"/>
      <c r="AE171" s="328"/>
      <c r="AF171" s="328"/>
      <c r="AG171" s="328"/>
      <c r="AH171" s="328"/>
      <c r="AI171" s="328"/>
      <c r="AJ171" s="328"/>
      <c r="AK171" s="328"/>
      <c r="AL171" s="328"/>
      <c r="AM171" s="328"/>
      <c r="AN171" s="328"/>
      <c r="AO171" s="328"/>
      <c r="AP171" s="328"/>
      <c r="AQ171" s="329"/>
      <c r="AR171" s="329"/>
      <c r="AS171" s="329"/>
      <c r="AT171" s="329"/>
      <c r="AU171" s="329"/>
      <c r="AV171" s="329"/>
      <c r="AW171" s="329"/>
      <c r="AX171" s="329"/>
      <c r="AY171" s="329"/>
      <c r="AZ171" s="329"/>
      <c r="BA171" s="329"/>
      <c r="BB171" s="329"/>
      <c r="BC171" s="329"/>
      <c r="BD171" s="329"/>
      <c r="BE171" s="329"/>
      <c r="BF171" s="329"/>
      <c r="BG171" s="329"/>
      <c r="BH171" s="329"/>
      <c r="BI171" s="329"/>
      <c r="BJ171" s="329"/>
      <c r="BK171" s="329"/>
      <c r="BL171" s="329"/>
      <c r="BM171" s="329"/>
      <c r="BN171" s="329"/>
      <c r="BO171" s="329"/>
      <c r="BP171" s="329"/>
      <c r="BQ171" s="329"/>
    </row>
    <row r="172" spans="2:69" ht="13.5" hidden="1" customHeight="1">
      <c r="B172" s="328" t="s">
        <v>661</v>
      </c>
      <c r="C172" s="328"/>
      <c r="D172" s="372">
        <f>J$22</f>
        <v>0</v>
      </c>
      <c r="E172" s="433">
        <f>J$103-D172</f>
        <v>-337307.4006276041</v>
      </c>
      <c r="F172" s="372">
        <f t="shared" si="523"/>
        <v>-337307.4006276041</v>
      </c>
      <c r="G172" s="328"/>
      <c r="H172" s="328"/>
      <c r="I172" s="328"/>
      <c r="J172" s="328"/>
      <c r="K172" s="328"/>
      <c r="L172" s="328"/>
      <c r="M172" s="328"/>
      <c r="N172" s="328"/>
      <c r="O172" s="328"/>
      <c r="P172" s="328"/>
      <c r="Q172" s="328"/>
      <c r="R172" s="328"/>
      <c r="S172" s="328"/>
      <c r="T172" s="328"/>
      <c r="U172" s="328"/>
      <c r="V172" s="328"/>
      <c r="W172" s="328"/>
      <c r="X172" s="328"/>
      <c r="Y172" s="328"/>
      <c r="Z172" s="328"/>
      <c r="AA172" s="328"/>
      <c r="AB172" s="328"/>
      <c r="AC172" s="328"/>
      <c r="AD172" s="328"/>
      <c r="AE172" s="328"/>
      <c r="AF172" s="328"/>
      <c r="AG172" s="328"/>
      <c r="AH172" s="328"/>
      <c r="AI172" s="328"/>
      <c r="AJ172" s="328"/>
      <c r="AK172" s="328"/>
      <c r="AL172" s="328"/>
      <c r="AM172" s="328"/>
      <c r="AN172" s="328"/>
      <c r="AO172" s="328"/>
      <c r="AP172" s="328"/>
      <c r="AQ172" s="329"/>
      <c r="AR172" s="329"/>
      <c r="AS172" s="329"/>
      <c r="AT172" s="329"/>
      <c r="AU172" s="329"/>
      <c r="AV172" s="329"/>
      <c r="AW172" s="329"/>
      <c r="AX172" s="329"/>
      <c r="AY172" s="329"/>
      <c r="AZ172" s="329"/>
      <c r="BA172" s="329"/>
      <c r="BB172" s="329"/>
      <c r="BC172" s="329"/>
      <c r="BD172" s="329"/>
      <c r="BE172" s="329"/>
      <c r="BF172" s="329"/>
      <c r="BG172" s="329"/>
      <c r="BH172" s="329"/>
      <c r="BI172" s="329"/>
      <c r="BJ172" s="329"/>
      <c r="BK172" s="329"/>
      <c r="BL172" s="329"/>
      <c r="BM172" s="329"/>
      <c r="BN172" s="329"/>
      <c r="BO172" s="329"/>
      <c r="BP172" s="329"/>
      <c r="BQ172" s="329"/>
    </row>
    <row r="173" spans="2:69" ht="13.5" hidden="1" customHeight="1">
      <c r="B173" s="328" t="s">
        <v>662</v>
      </c>
      <c r="C173" s="328"/>
      <c r="D173" s="372">
        <f>K$22</f>
        <v>0</v>
      </c>
      <c r="E173" s="433">
        <f>K$103-D173</f>
        <v>-309162.70051565103</v>
      </c>
      <c r="F173" s="372">
        <f t="shared" si="523"/>
        <v>-309162.70051565103</v>
      </c>
      <c r="G173" s="328"/>
      <c r="H173" s="328"/>
    </row>
    <row r="174" spans="2:69" ht="13.5" hidden="1" customHeight="1">
      <c r="B174" s="328" t="s">
        <v>663</v>
      </c>
      <c r="C174" s="328"/>
      <c r="D174" s="372">
        <f>L$22</f>
        <v>0</v>
      </c>
      <c r="E174" s="433">
        <f>L$103-D174</f>
        <v>-194530.66954380029</v>
      </c>
      <c r="F174" s="372">
        <f t="shared" si="523"/>
        <v>-194530.66954380029</v>
      </c>
      <c r="G174" s="328"/>
      <c r="H174" s="328"/>
    </row>
    <row r="175" spans="2:69" ht="13.5" hidden="1" customHeight="1">
      <c r="B175" s="328" t="s">
        <v>664</v>
      </c>
      <c r="C175" s="328"/>
      <c r="D175" s="372">
        <f>M$22</f>
        <v>0</v>
      </c>
      <c r="E175" s="433">
        <f>M$103-D175</f>
        <v>-304911.78829342802</v>
      </c>
      <c r="F175" s="372">
        <f t="shared" si="523"/>
        <v>-304911.78829342802</v>
      </c>
      <c r="G175" s="328"/>
      <c r="H175" s="328"/>
    </row>
    <row r="176" spans="2:69" ht="13.5" hidden="1" customHeight="1">
      <c r="B176" s="328" t="s">
        <v>665</v>
      </c>
      <c r="C176" s="328"/>
      <c r="D176" s="372">
        <f>N$22</f>
        <v>0</v>
      </c>
      <c r="E176" s="433">
        <f>N$103-D176</f>
        <v>-1152472.3997887103</v>
      </c>
      <c r="F176" s="372">
        <f t="shared" si="523"/>
        <v>-1152472.3997887103</v>
      </c>
      <c r="G176" s="328"/>
      <c r="H176" s="328"/>
    </row>
    <row r="177" spans="2:8" ht="13.5" hidden="1" customHeight="1">
      <c r="B177" s="328" t="s">
        <v>666</v>
      </c>
      <c r="C177" s="328"/>
      <c r="D177" s="372">
        <f>O$22</f>
        <v>1479311.5</v>
      </c>
      <c r="E177" s="433">
        <f>O$103-D177</f>
        <v>-637782.4942311747</v>
      </c>
      <c r="F177" s="372">
        <f t="shared" si="523"/>
        <v>841529.0057688253</v>
      </c>
      <c r="G177" s="372">
        <f>SUM(D166:D177)</f>
        <v>1479311.5</v>
      </c>
      <c r="H177" s="372">
        <f>G177+SUM(E166:E177)</f>
        <v>-3199150.8388857851</v>
      </c>
    </row>
    <row r="178" spans="2:8" ht="13.5" hidden="1" customHeight="1">
      <c r="B178" s="328" t="s">
        <v>667</v>
      </c>
      <c r="C178" s="328"/>
      <c r="D178" s="372">
        <f>Q$22</f>
        <v>1549311.5</v>
      </c>
      <c r="E178" s="433">
        <f>Q$103-D178</f>
        <v>-2169362.2632051869</v>
      </c>
      <c r="F178" s="372">
        <f t="shared" si="523"/>
        <v>-620050.76320518693</v>
      </c>
      <c r="G178" s="328"/>
      <c r="H178" s="328"/>
    </row>
    <row r="179" spans="2:8" ht="13.5" hidden="1" customHeight="1">
      <c r="B179" s="328" t="s">
        <v>668</v>
      </c>
      <c r="C179" s="328"/>
      <c r="D179" s="372">
        <f>R$22</f>
        <v>4655236.5250000004</v>
      </c>
      <c r="E179" s="433">
        <f>R$103-D179</f>
        <v>-1688612.039181123</v>
      </c>
      <c r="F179" s="372">
        <f t="shared" si="523"/>
        <v>2966624.4858188774</v>
      </c>
      <c r="G179" s="328"/>
      <c r="H179" s="328"/>
    </row>
    <row r="180" spans="2:8" ht="13.5" hidden="1" customHeight="1">
      <c r="B180" s="328" t="s">
        <v>669</v>
      </c>
      <c r="C180" s="328"/>
      <c r="D180" s="372">
        <f>S$22</f>
        <v>4657436.5250000004</v>
      </c>
      <c r="E180" s="433">
        <f>S$103-D180</f>
        <v>-774858.02275307616</v>
      </c>
      <c r="F180" s="372">
        <f t="shared" si="523"/>
        <v>3882578.5022469242</v>
      </c>
      <c r="G180" s="328"/>
      <c r="H180" s="328"/>
    </row>
    <row r="181" spans="2:8" ht="13.5" hidden="1" customHeight="1">
      <c r="B181" s="328" t="s">
        <v>670</v>
      </c>
      <c r="C181" s="328"/>
      <c r="D181" s="372">
        <f>T$22</f>
        <v>1395789.5</v>
      </c>
      <c r="E181" s="433">
        <f>T$103-D181</f>
        <v>-6122504.3021013523</v>
      </c>
      <c r="F181" s="372">
        <f t="shared" si="523"/>
        <v>-4726714.8021013523</v>
      </c>
      <c r="G181" s="328"/>
      <c r="H181" s="328"/>
    </row>
    <row r="182" spans="2:8" ht="13.5" hidden="1" customHeight="1">
      <c r="B182" s="328" t="s">
        <v>671</v>
      </c>
      <c r="C182" s="328"/>
      <c r="D182" s="372">
        <f>U$22</f>
        <v>553198.5</v>
      </c>
      <c r="E182" s="433">
        <f>U$103-D182</f>
        <v>-662157.87284977478</v>
      </c>
      <c r="F182" s="372">
        <f t="shared" si="523"/>
        <v>-108959.37284977478</v>
      </c>
      <c r="G182" s="328"/>
      <c r="H182" s="328"/>
    </row>
    <row r="183" spans="2:8" ht="13.5" hidden="1" customHeight="1">
      <c r="B183" s="328" t="s">
        <v>672</v>
      </c>
      <c r="C183" s="328"/>
      <c r="D183" s="372">
        <f>V$22</f>
        <v>294048.11666666676</v>
      </c>
      <c r="E183" s="433">
        <f>V$103-D183</f>
        <v>-1124403.6339792197</v>
      </c>
      <c r="F183" s="372">
        <f t="shared" si="523"/>
        <v>-830355.51731255301</v>
      </c>
      <c r="G183" s="328"/>
      <c r="H183" s="328"/>
    </row>
    <row r="184" spans="2:8" ht="13.5" hidden="1" customHeight="1">
      <c r="B184" s="328" t="s">
        <v>673</v>
      </c>
      <c r="C184" s="328"/>
      <c r="D184" s="372">
        <f>W$22</f>
        <v>8008491.5216666674</v>
      </c>
      <c r="E184" s="433">
        <f>W$103-D184</f>
        <v>-4184347.0476577971</v>
      </c>
      <c r="F184" s="372">
        <f t="shared" si="523"/>
        <v>3824144.4740088703</v>
      </c>
      <c r="G184" s="328"/>
      <c r="H184" s="328"/>
    </row>
    <row r="185" spans="2:8" ht="13.5" hidden="1" customHeight="1">
      <c r="B185" s="328" t="s">
        <v>674</v>
      </c>
      <c r="C185" s="328"/>
      <c r="D185" s="372">
        <f>X$22</f>
        <v>2232725.1336666672</v>
      </c>
      <c r="E185" s="433">
        <f>X$103-D185</f>
        <v>-2026538.9995257515</v>
      </c>
      <c r="F185" s="372">
        <f t="shared" si="523"/>
        <v>206186.1341409157</v>
      </c>
      <c r="G185" s="328"/>
      <c r="H185" s="328"/>
    </row>
    <row r="186" spans="2:8" ht="13.5" hidden="1" customHeight="1">
      <c r="B186" s="328" t="s">
        <v>675</v>
      </c>
      <c r="C186" s="328"/>
      <c r="D186" s="372">
        <f>Y$22</f>
        <v>304709.69286666677</v>
      </c>
      <c r="E186" s="433">
        <f>Y$103-D186</f>
        <v>-2441680.1423235736</v>
      </c>
      <c r="F186" s="372">
        <f t="shared" si="523"/>
        <v>-2136970.4494569069</v>
      </c>
      <c r="G186" s="328"/>
      <c r="H186" s="328"/>
    </row>
    <row r="187" spans="2:8" ht="13.5" hidden="1" customHeight="1">
      <c r="B187" s="328" t="s">
        <v>676</v>
      </c>
      <c r="C187" s="328"/>
      <c r="D187" s="372">
        <f>Z$22</f>
        <v>8553934.7704866678</v>
      </c>
      <c r="E187" s="433">
        <f>Z$103-D187</f>
        <v>-4044214.7250709673</v>
      </c>
      <c r="F187" s="372">
        <f t="shared" si="523"/>
        <v>4509720.0454157004</v>
      </c>
      <c r="G187" s="328"/>
      <c r="H187" s="328"/>
    </row>
    <row r="188" spans="2:8" ht="13.5" hidden="1" customHeight="1">
      <c r="B188" s="328" t="s">
        <v>677</v>
      </c>
      <c r="C188" s="328"/>
      <c r="D188" s="372">
        <f>AA$22</f>
        <v>7082218.1358686667</v>
      </c>
      <c r="E188" s="433">
        <f>AA$103-D188</f>
        <v>-5814006.5312300082</v>
      </c>
      <c r="F188" s="372">
        <f t="shared" si="523"/>
        <v>1268211.6046386585</v>
      </c>
      <c r="G188" s="328"/>
      <c r="H188" s="328"/>
    </row>
    <row r="189" spans="2:8" ht="13.5" hidden="1" customHeight="1">
      <c r="B189" s="328" t="s">
        <v>678</v>
      </c>
      <c r="C189" s="328"/>
      <c r="D189" s="372">
        <f>AB$22</f>
        <v>318900.25078886672</v>
      </c>
      <c r="E189" s="433">
        <f>AB$103-D189</f>
        <v>-1273367.108106755</v>
      </c>
      <c r="F189" s="372">
        <f t="shared" si="523"/>
        <v>-954466.85731788818</v>
      </c>
      <c r="G189" s="372">
        <f>SUM(D178:D189)</f>
        <v>39606000.172010876</v>
      </c>
      <c r="H189" s="372">
        <f>G189+SUM(E178:E189)</f>
        <v>7279947.4840262905</v>
      </c>
    </row>
    <row r="190" spans="2:8" ht="13.5" hidden="1" customHeight="1">
      <c r="B190" s="328" t="s">
        <v>679</v>
      </c>
      <c r="C190" s="328"/>
      <c r="D190" s="372">
        <f>AD$22</f>
        <v>1736018.4008677534</v>
      </c>
      <c r="E190" s="433">
        <f>AD$103-D190</f>
        <v>-5157572.3605649602</v>
      </c>
      <c r="F190" s="372">
        <f t="shared" si="523"/>
        <v>-3421553.9596972065</v>
      </c>
      <c r="G190" s="328"/>
      <c r="H190" s="328"/>
    </row>
    <row r="191" spans="2:8" ht="13.5" hidden="1" customHeight="1">
      <c r="B191" s="328" t="s">
        <v>680</v>
      </c>
      <c r="C191" s="328"/>
      <c r="D191" s="372">
        <f>AE$22</f>
        <v>1746040.2576211954</v>
      </c>
      <c r="E191" s="433">
        <f>AE$103-D191</f>
        <v>-1978798.2669930146</v>
      </c>
      <c r="F191" s="372">
        <f t="shared" si="523"/>
        <v>-232758.00937181921</v>
      </c>
      <c r="G191" s="328"/>
      <c r="H191" s="328"/>
    </row>
    <row r="192" spans="2:8" ht="13.5" hidden="1" customHeight="1">
      <c r="B192" s="328" t="s">
        <v>681</v>
      </c>
      <c r="C192" s="328"/>
      <c r="D192" s="372">
        <f>AF$22</f>
        <v>1471956.7000499812</v>
      </c>
      <c r="E192" s="433">
        <f>AF$103-D192</f>
        <v>-1789738.0983699409</v>
      </c>
      <c r="F192" s="372">
        <f t="shared" si="523"/>
        <v>-317781.39831995964</v>
      </c>
      <c r="G192" s="328"/>
      <c r="H192" s="328"/>
    </row>
    <row r="193" spans="2:8" ht="13.5" hidden="1" customHeight="1">
      <c r="B193" s="328" t="s">
        <v>682</v>
      </c>
      <c r="C193" s="328"/>
      <c r="D193" s="372">
        <f>AG$22</f>
        <v>2747564.7472216468</v>
      </c>
      <c r="E193" s="433">
        <f>AG$103-D193</f>
        <v>-2603964.374188547</v>
      </c>
      <c r="F193" s="372">
        <f t="shared" si="523"/>
        <v>143600.37303309981</v>
      </c>
      <c r="G193" s="328"/>
      <c r="H193" s="328"/>
    </row>
    <row r="194" spans="2:8" ht="13.5" hidden="1" customHeight="1">
      <c r="B194" s="328" t="s">
        <v>683</v>
      </c>
      <c r="C194" s="328"/>
      <c r="D194" s="372">
        <f>AH$22</f>
        <v>1761271.3795954776</v>
      </c>
      <c r="E194" s="433">
        <f>AH$103-D194</f>
        <v>-2615747.2723226808</v>
      </c>
      <c r="F194" s="372">
        <f t="shared" si="523"/>
        <v>-854475.8927272032</v>
      </c>
      <c r="G194" s="328"/>
      <c r="H194" s="328"/>
    </row>
    <row r="195" spans="2:8" ht="13.5" hidden="1" customHeight="1">
      <c r="B195" s="328" t="s">
        <v>684</v>
      </c>
      <c r="C195" s="328"/>
      <c r="D195" s="372">
        <f>AI$22</f>
        <v>1775370.2566256423</v>
      </c>
      <c r="E195" s="433">
        <f>AI$103-D195</f>
        <v>-1845121.1663218874</v>
      </c>
      <c r="F195" s="372">
        <f t="shared" si="523"/>
        <v>-69750.9096962451</v>
      </c>
      <c r="G195" s="328"/>
      <c r="H195" s="328"/>
    </row>
    <row r="196" spans="2:8" ht="13.5" hidden="1" customHeight="1">
      <c r="B196" s="328" t="s">
        <v>685</v>
      </c>
      <c r="C196" s="328"/>
      <c r="D196" s="372">
        <f>AJ$22</f>
        <v>13621665.793427102</v>
      </c>
      <c r="E196" s="433">
        <f>AJ$103-D196</f>
        <v>-8415501.0288065523</v>
      </c>
      <c r="F196" s="372">
        <f t="shared" si="523"/>
        <v>5206164.76462055</v>
      </c>
      <c r="G196" s="328"/>
      <c r="H196" s="328"/>
    </row>
    <row r="197" spans="2:8" ht="13.5" hidden="1" customHeight="1">
      <c r="B197" s="328" t="s">
        <v>686</v>
      </c>
      <c r="C197" s="328"/>
      <c r="D197" s="372">
        <f>AK$22</f>
        <v>1807471.8232217587</v>
      </c>
      <c r="E197" s="433">
        <f>AK$103-D197</f>
        <v>-4805167.7930018473</v>
      </c>
      <c r="F197" s="372">
        <f t="shared" si="523"/>
        <v>-2997695.9697800884</v>
      </c>
      <c r="G197" s="328"/>
      <c r="H197" s="328"/>
    </row>
    <row r="198" spans="2:8" ht="13.5" hidden="1" customHeight="1">
      <c r="B198" s="328" t="s">
        <v>687</v>
      </c>
      <c r="C198" s="328"/>
      <c r="D198" s="372">
        <f>AL$22</f>
        <v>1825717.2929408534</v>
      </c>
      <c r="E198" s="433">
        <f>AL$103-D198</f>
        <v>-1817064.7521946793</v>
      </c>
      <c r="F198" s="372">
        <f t="shared" si="523"/>
        <v>8652.5407461740542</v>
      </c>
      <c r="G198" s="328"/>
      <c r="H198" s="328"/>
    </row>
    <row r="199" spans="2:8" ht="13.5" hidden="1" customHeight="1">
      <c r="B199" s="328" t="s">
        <v>688</v>
      </c>
      <c r="C199" s="328"/>
      <c r="D199" s="372">
        <f>AM$22</f>
        <v>20294356.100082971</v>
      </c>
      <c r="E199" s="433">
        <f>AM$103-D199</f>
        <v>-13427069.103755437</v>
      </c>
      <c r="F199" s="372">
        <f t="shared" si="523"/>
        <v>6867286.9963275343</v>
      </c>
      <c r="G199" s="328"/>
      <c r="H199" s="328"/>
    </row>
    <row r="200" spans="2:8" ht="13.5" hidden="1" customHeight="1">
      <c r="B200" s="328" t="s">
        <v>689</v>
      </c>
      <c r="C200" s="328"/>
      <c r="D200" s="372">
        <f>AN$22</f>
        <v>2532871.639722005</v>
      </c>
      <c r="E200" s="433">
        <f>AN$103-D200</f>
        <v>-3185458.0644953097</v>
      </c>
      <c r="F200" s="372">
        <f t="shared" si="523"/>
        <v>-652586.42477330472</v>
      </c>
      <c r="G200" s="328"/>
      <c r="H200" s="328"/>
    </row>
    <row r="201" spans="2:8" ht="13.5" hidden="1" customHeight="1">
      <c r="B201" s="328" t="s">
        <v>690</v>
      </c>
      <c r="C201" s="328"/>
      <c r="D201" s="372">
        <f>AO$22</f>
        <v>1890939.9614324225</v>
      </c>
      <c r="E201" s="433">
        <f>AO$103-D201</f>
        <v>-2743612.8504361757</v>
      </c>
      <c r="F201" s="372">
        <f t="shared" si="523"/>
        <v>-852672.8890037532</v>
      </c>
      <c r="G201" s="372">
        <f>SUM(D190:D201)</f>
        <v>53211244.352808811</v>
      </c>
      <c r="H201" s="372">
        <f>G201+SUM(E190:E201)</f>
        <v>2826429.2213577852</v>
      </c>
    </row>
    <row r="202" spans="2:8" ht="13.5" hidden="1" customHeight="1">
      <c r="B202" s="328" t="s">
        <v>691</v>
      </c>
      <c r="C202" s="328"/>
      <c r="D202" s="372">
        <f>AQ$22</f>
        <v>4868884.6035255576</v>
      </c>
      <c r="E202" s="433">
        <f>AQ$103-D202</f>
        <v>-3549858.0183989285</v>
      </c>
      <c r="F202" s="372">
        <f t="shared" si="523"/>
        <v>1319026.5851266291</v>
      </c>
      <c r="G202" s="328"/>
      <c r="H202" s="328"/>
    </row>
    <row r="203" spans="2:8" ht="13.5" hidden="1" customHeight="1">
      <c r="B203" s="328" t="s">
        <v>692</v>
      </c>
      <c r="C203" s="328"/>
      <c r="D203" s="372">
        <f>AR$22</f>
        <v>4099031.8263778305</v>
      </c>
      <c r="E203" s="433">
        <f>AR$103-D203</f>
        <v>-2858825.5009252913</v>
      </c>
      <c r="F203" s="372">
        <f t="shared" si="523"/>
        <v>1240206.3254525391</v>
      </c>
      <c r="G203" s="328"/>
      <c r="H203" s="328"/>
    </row>
    <row r="204" spans="2:8" ht="13.5" hidden="1" customHeight="1">
      <c r="B204" s="328" t="s">
        <v>693</v>
      </c>
      <c r="C204" s="328"/>
      <c r="D204" s="372">
        <f>AS$22</f>
        <v>4129726.1077903118</v>
      </c>
      <c r="E204" s="433">
        <f>AS$103-D204</f>
        <v>-2871942.0273257243</v>
      </c>
      <c r="F204" s="372">
        <f t="shared" si="523"/>
        <v>1257784.0804645875</v>
      </c>
      <c r="G204" s="328"/>
      <c r="H204" s="328"/>
    </row>
    <row r="205" spans="2:8" ht="13.5" hidden="1" customHeight="1">
      <c r="B205" s="328" t="s">
        <v>694</v>
      </c>
      <c r="C205" s="328"/>
      <c r="D205" s="372">
        <f>AT$22</f>
        <v>5572766.1712582698</v>
      </c>
      <c r="E205" s="433">
        <f>AT$103-D205</f>
        <v>-3636016.4760652781</v>
      </c>
      <c r="F205" s="372">
        <f t="shared" si="523"/>
        <v>1936749.6951929918</v>
      </c>
      <c r="G205" s="328"/>
      <c r="H205" s="328"/>
    </row>
    <row r="206" spans="2:8" ht="13.5" hidden="1" customHeight="1">
      <c r="B206" s="328" t="s">
        <v>695</v>
      </c>
      <c r="C206" s="328"/>
      <c r="D206" s="372">
        <f>AU$22</f>
        <v>4562500.4327612491</v>
      </c>
      <c r="E206" s="433">
        <f>AU$103-D206</f>
        <v>-3924783.3527522697</v>
      </c>
      <c r="F206" s="372">
        <f t="shared" si="523"/>
        <v>637717.08000897942</v>
      </c>
      <c r="G206" s="328"/>
      <c r="H206" s="328"/>
    </row>
    <row r="207" spans="2:8" ht="13.5" hidden="1" customHeight="1">
      <c r="B207" s="328" t="s">
        <v>696</v>
      </c>
      <c r="C207" s="328"/>
      <c r="D207" s="372">
        <f>AV$22</f>
        <v>4602398.2732209256</v>
      </c>
      <c r="E207" s="433">
        <f>AV$103-D207</f>
        <v>-2960526.0084160296</v>
      </c>
      <c r="F207" s="372">
        <f t="shared" si="523"/>
        <v>1641872.264804896</v>
      </c>
      <c r="G207" s="328"/>
      <c r="H207" s="328"/>
    </row>
    <row r="208" spans="2:8" ht="13.5" hidden="1" customHeight="1">
      <c r="B208" s="328" t="s">
        <v>697</v>
      </c>
      <c r="C208" s="328"/>
      <c r="D208" s="372">
        <f>AW$22</f>
        <v>18984774.072129425</v>
      </c>
      <c r="E208" s="433">
        <f>AW$103-D208</f>
        <v>-11079993.25546157</v>
      </c>
      <c r="F208" s="372">
        <f t="shared" si="523"/>
        <v>7904780.8166678548</v>
      </c>
      <c r="G208" s="328"/>
      <c r="H208" s="328"/>
    </row>
    <row r="209" spans="2:8" ht="13.5" hidden="1" customHeight="1">
      <c r="B209" s="328" t="s">
        <v>698</v>
      </c>
      <c r="C209" s="328"/>
      <c r="D209" s="372">
        <f>AX$22</f>
        <v>4693510.8730398118</v>
      </c>
      <c r="E209" s="433">
        <f>AX$103-D209</f>
        <v>-6526191.2142997319</v>
      </c>
      <c r="F209" s="372">
        <f t="shared" si="523"/>
        <v>-1832680.34125992</v>
      </c>
      <c r="G209" s="328"/>
      <c r="H209" s="328"/>
    </row>
    <row r="210" spans="2:8" ht="13.5" hidden="1" customHeight="1">
      <c r="B210" s="328" t="s">
        <v>699</v>
      </c>
      <c r="C210" s="328"/>
      <c r="D210" s="372">
        <f>AY$22</f>
        <v>4745443.4536500629</v>
      </c>
      <c r="E210" s="433">
        <f>AY$103-D210</f>
        <v>-3021872.6847771052</v>
      </c>
      <c r="F210" s="372">
        <f t="shared" si="523"/>
        <v>1723570.7688729577</v>
      </c>
      <c r="G210" s="328"/>
      <c r="H210" s="328"/>
    </row>
    <row r="211" spans="2:8" ht="13.5" hidden="1" customHeight="1">
      <c r="B211" s="328" t="s">
        <v>700</v>
      </c>
      <c r="C211" s="328"/>
      <c r="D211" s="372">
        <f>AZ$22</f>
        <v>26366548.325452778</v>
      </c>
      <c r="E211" s="433">
        <f>AZ$103-D211</f>
        <v>-16689992.111602861</v>
      </c>
      <c r="F211" s="372">
        <f t="shared" si="523"/>
        <v>9676556.2138499171</v>
      </c>
      <c r="G211" s="328"/>
      <c r="H211" s="328"/>
    </row>
    <row r="212" spans="2:8" ht="13.5" hidden="1" customHeight="1">
      <c r="B212" s="328" t="s">
        <v>701</v>
      </c>
      <c r="C212" s="328"/>
      <c r="D212" s="372">
        <f>BA$22</f>
        <v>5763283.3003864074</v>
      </c>
      <c r="E212" s="433">
        <f>BA$103-D212</f>
        <v>-4590877.2981167063</v>
      </c>
      <c r="F212" s="372">
        <f t="shared" si="523"/>
        <v>1172406.0022697011</v>
      </c>
      <c r="G212" s="328"/>
      <c r="H212" s="328"/>
    </row>
    <row r="213" spans="2:8" ht="13.5" hidden="1" customHeight="1">
      <c r="B213" s="328" t="s">
        <v>702</v>
      </c>
      <c r="C213" s="328"/>
      <c r="D213" s="372">
        <f>BB$22</f>
        <v>4931806.8846305814</v>
      </c>
      <c r="E213" s="433">
        <f>BB$103-D213</f>
        <v>-4000774.4559371821</v>
      </c>
      <c r="F213" s="372">
        <f t="shared" si="523"/>
        <v>931032.4286933993</v>
      </c>
      <c r="G213" s="372">
        <f>SUM(D202:D213)</f>
        <v>93320674.32422322</v>
      </c>
      <c r="H213" s="372">
        <f>G213+SUM(E202:E213)</f>
        <v>27609021.920144543</v>
      </c>
    </row>
    <row r="214" spans="2:8" ht="13.5" hidden="1" customHeight="1">
      <c r="B214" s="328" t="s">
        <v>703</v>
      </c>
      <c r="C214" s="328"/>
      <c r="D214" s="372">
        <f>BD$22</f>
        <v>8299912.7093302272</v>
      </c>
      <c r="E214" s="433">
        <f>BD$103-D214</f>
        <v>-5301482.8053756645</v>
      </c>
      <c r="F214" s="372">
        <f t="shared" si="523"/>
        <v>2998429.9039545627</v>
      </c>
      <c r="G214" s="328"/>
      <c r="H214" s="328"/>
    </row>
    <row r="215" spans="2:8" ht="13.5" hidden="1" customHeight="1">
      <c r="B215" s="328" t="s">
        <v>704</v>
      </c>
      <c r="C215" s="328"/>
      <c r="D215" s="372">
        <f>BE$22</f>
        <v>7240753.0846363995</v>
      </c>
      <c r="E215" s="433">
        <f>BE$103-D215</f>
        <v>-4293752.3780325772</v>
      </c>
      <c r="F215" s="372">
        <f t="shared" si="523"/>
        <v>2947000.7066038223</v>
      </c>
      <c r="G215" s="328"/>
      <c r="H215" s="328"/>
    </row>
    <row r="216" spans="2:8" ht="13.5" hidden="1" customHeight="1">
      <c r="B216" s="328" t="s">
        <v>705</v>
      </c>
      <c r="C216" s="328"/>
      <c r="D216" s="372">
        <f>BF$22</f>
        <v>7329086.7170459749</v>
      </c>
      <c r="E216" s="433">
        <f>BF$103-D216</f>
        <v>-4341252.8528385377</v>
      </c>
      <c r="F216" s="372">
        <f t="shared" si="523"/>
        <v>2987833.8642074373</v>
      </c>
      <c r="G216" s="328"/>
      <c r="H216" s="328"/>
    </row>
    <row r="217" spans="2:8" ht="13.5" hidden="1" customHeight="1">
      <c r="B217" s="328" t="s">
        <v>706</v>
      </c>
      <c r="C217" s="328"/>
      <c r="D217" s="372">
        <f>BG$22</f>
        <v>7425643.9406393915</v>
      </c>
      <c r="E217" s="433">
        <f>BG$103-D217</f>
        <v>-5291676.5440103915</v>
      </c>
      <c r="F217" s="372">
        <f t="shared" si="523"/>
        <v>2133967.3966290001</v>
      </c>
      <c r="G217" s="328"/>
      <c r="H217" s="328"/>
    </row>
    <row r="218" spans="2:8" ht="13.5" hidden="1" customHeight="1">
      <c r="B218" s="328" t="s">
        <v>707</v>
      </c>
      <c r="C218" s="328"/>
      <c r="D218" s="372">
        <f>BH$22</f>
        <v>7531204.430491033</v>
      </c>
      <c r="E218" s="433">
        <f>BH$103-D218</f>
        <v>-6506712.4802542729</v>
      </c>
      <c r="F218" s="372">
        <f t="shared" si="523"/>
        <v>1024491.9502367601</v>
      </c>
      <c r="G218" s="328"/>
      <c r="H218" s="328"/>
    </row>
    <row r="219" spans="2:8" ht="13.5" hidden="1" customHeight="1">
      <c r="B219" s="328" t="s">
        <v>708</v>
      </c>
      <c r="C219" s="328"/>
      <c r="D219" s="372">
        <f>BI$22</f>
        <v>7646622.8412996428</v>
      </c>
      <c r="E219" s="433">
        <f>BI$103-D219</f>
        <v>-5409871.4555145595</v>
      </c>
      <c r="F219" s="372">
        <f t="shared" si="523"/>
        <v>2236751.3857850833</v>
      </c>
      <c r="G219" s="328"/>
      <c r="H219" s="328"/>
    </row>
    <row r="220" spans="2:8" ht="13.5" hidden="1" customHeight="1">
      <c r="B220" s="328" t="s">
        <v>709</v>
      </c>
      <c r="C220" s="328"/>
      <c r="D220" s="372">
        <f>BJ$22</f>
        <v>26815531.812865615</v>
      </c>
      <c r="E220" s="433">
        <f>BJ$103-D220</f>
        <v>-14662183.498891743</v>
      </c>
      <c r="F220" s="372">
        <f t="shared" si="523"/>
        <v>12153348.313973872</v>
      </c>
      <c r="G220" s="328"/>
      <c r="H220" s="328"/>
    </row>
    <row r="221" spans="2:8" ht="13.5" hidden="1" customHeight="1">
      <c r="B221" s="328" t="s">
        <v>710</v>
      </c>
      <c r="C221" s="328"/>
      <c r="D221" s="372">
        <f>BK$22</f>
        <v>10065038.056475371</v>
      </c>
      <c r="E221" s="433">
        <f>BK$103-D221</f>
        <v>-9866316.7441915534</v>
      </c>
      <c r="F221" s="372">
        <f t="shared" si="523"/>
        <v>198721.31228381768</v>
      </c>
      <c r="G221" s="328"/>
      <c r="H221" s="328"/>
    </row>
    <row r="222" spans="2:8" ht="13.5" hidden="1" customHeight="1">
      <c r="B222" s="328" t="s">
        <v>711</v>
      </c>
      <c r="C222" s="328"/>
      <c r="D222" s="372">
        <f>BL$22</f>
        <v>10216021.642592058</v>
      </c>
      <c r="E222" s="433">
        <f>BL$103-D222</f>
        <v>-5648184.8100246526</v>
      </c>
      <c r="F222" s="372">
        <f t="shared" si="523"/>
        <v>4567836.832567405</v>
      </c>
      <c r="G222" s="328"/>
      <c r="H222" s="328"/>
    </row>
    <row r="223" spans="2:8" ht="13.5" hidden="1" customHeight="1">
      <c r="B223" s="328" t="s">
        <v>712</v>
      </c>
      <c r="C223" s="328"/>
      <c r="D223" s="372">
        <f>BM$22</f>
        <v>35676742.533886582</v>
      </c>
      <c r="E223" s="433">
        <f>BM$103-D223</f>
        <v>-20479524.128447767</v>
      </c>
      <c r="F223" s="372">
        <f t="shared" si="523"/>
        <v>15197218.405438814</v>
      </c>
      <c r="G223" s="328"/>
      <c r="H223" s="328"/>
    </row>
    <row r="224" spans="2:8" ht="13.5" hidden="1" customHeight="1">
      <c r="B224" s="328" t="s">
        <v>713</v>
      </c>
      <c r="C224" s="328"/>
      <c r="D224" s="372">
        <f>BN$22</f>
        <v>11731220.65863638</v>
      </c>
      <c r="E224" s="433">
        <f>BN$103-D224</f>
        <v>-6628912.0925957235</v>
      </c>
      <c r="F224" s="372">
        <f t="shared" si="523"/>
        <v>5102308.5660406565</v>
      </c>
      <c r="G224" s="328"/>
      <c r="H224" s="328"/>
    </row>
    <row r="225" spans="2:8" ht="13.5" hidden="1" customHeight="1">
      <c r="B225" s="328" t="s">
        <v>714</v>
      </c>
      <c r="C225" s="328"/>
      <c r="D225" s="372">
        <f>BO$22</f>
        <v>12327093.817939762</v>
      </c>
      <c r="E225" s="433">
        <f>BO$103-D225</f>
        <v>-6831894.222586181</v>
      </c>
      <c r="F225" s="372">
        <f t="shared" si="523"/>
        <v>5495199.595353581</v>
      </c>
      <c r="G225" s="372">
        <f>SUM(D214:D225)</f>
        <v>152304872.24583843</v>
      </c>
      <c r="H225" s="372">
        <f>G225+SUM(E214:E225)</f>
        <v>57043108.233074799</v>
      </c>
    </row>
    <row r="226" spans="2:8" ht="13.5" hidden="1" customHeight="1">
      <c r="B226" s="328" t="s">
        <v>208</v>
      </c>
      <c r="C226" s="328"/>
      <c r="D226" s="372">
        <f>SUM(D166:D225)</f>
        <v>339922102.59488136</v>
      </c>
      <c r="E226" s="372">
        <f>SUM(E166:E225)</f>
        <v>-248362746.57516369</v>
      </c>
      <c r="F226" s="372">
        <f t="shared" si="523"/>
        <v>91559356.019717664</v>
      </c>
      <c r="G226" s="328"/>
      <c r="H226" s="328"/>
    </row>
    <row r="227" spans="2:8" ht="13.5" hidden="1" customHeight="1">
      <c r="B227" s="328"/>
      <c r="C227" s="328"/>
      <c r="D227" s="372"/>
      <c r="E227" s="328"/>
      <c r="F227" s="328"/>
      <c r="G227" s="328"/>
      <c r="H227" s="372">
        <f>SUM(H177:H225)</f>
        <v>91559356.019717634</v>
      </c>
    </row>
  </sheetData>
  <mergeCells count="1">
    <mergeCell ref="A1:B1"/>
  </mergeCells>
  <phoneticPr fontId="49" type="noConversion"/>
  <pageMargins left="0.25" right="0.25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9F0C-12B4-47A0-8CE0-BCF6660850AC}">
  <sheetPr>
    <pageSetUpPr fitToPage="1"/>
  </sheetPr>
  <dimension ref="A1:Q95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0" sqref="B10"/>
    </sheetView>
  </sheetViews>
  <sheetFormatPr baseColWidth="10" defaultColWidth="12.5" defaultRowHeight="15" customHeight="1"/>
  <cols>
    <col min="1" max="1" width="2.1640625" customWidth="1"/>
    <col min="2" max="2" width="35.83203125" style="374" bestFit="1" customWidth="1"/>
    <col min="3" max="4" width="12.5" style="374" bestFit="1" customWidth="1"/>
    <col min="5" max="7" width="13.6640625" style="374" bestFit="1" customWidth="1"/>
    <col min="8" max="8" width="14.1640625" style="374" bestFit="1" customWidth="1"/>
    <col min="9" max="9" width="15.6640625" bestFit="1" customWidth="1"/>
    <col min="10" max="10" width="3" customWidth="1"/>
    <col min="11" max="11" width="30.1640625" bestFit="1" customWidth="1"/>
    <col min="12" max="12" width="15.5" bestFit="1" customWidth="1"/>
    <col min="13" max="15" width="16.83203125" bestFit="1" customWidth="1"/>
    <col min="16" max="16" width="17.5" bestFit="1" customWidth="1"/>
    <col min="17" max="17" width="19.1640625" bestFit="1" customWidth="1"/>
  </cols>
  <sheetData>
    <row r="1" spans="1:17" ht="13.5" customHeight="1">
      <c r="A1" s="1120"/>
      <c r="B1" s="1121"/>
      <c r="C1" s="328"/>
      <c r="D1" s="328"/>
      <c r="E1" s="328"/>
      <c r="F1" s="329"/>
      <c r="G1" s="329"/>
      <c r="H1" s="329"/>
    </row>
    <row r="2" spans="1:17" ht="13.5" customHeight="1" thickBot="1">
      <c r="A2" s="1133" t="s">
        <v>719</v>
      </c>
      <c r="B2" s="1134"/>
      <c r="C2" s="1134"/>
      <c r="D2" s="1134"/>
      <c r="E2" s="1134"/>
      <c r="F2" s="1134"/>
      <c r="G2" s="1134"/>
      <c r="H2" s="1135"/>
      <c r="J2" s="1136" t="s">
        <v>1005</v>
      </c>
      <c r="K2" s="1137"/>
      <c r="L2" s="1137"/>
      <c r="M2" s="1137"/>
      <c r="N2" s="1137"/>
      <c r="O2" s="1137"/>
      <c r="P2" s="1137"/>
      <c r="Q2" s="1138"/>
    </row>
    <row r="3" spans="1:17" ht="13.5" customHeight="1">
      <c r="A3" s="448"/>
      <c r="B3" s="449"/>
      <c r="C3" s="449"/>
      <c r="D3" s="449"/>
      <c r="E3" s="449"/>
      <c r="F3" s="450"/>
      <c r="G3" s="450"/>
      <c r="H3" s="451"/>
      <c r="J3" s="982"/>
      <c r="K3" s="983"/>
      <c r="L3" s="983"/>
      <c r="M3" s="983"/>
      <c r="N3" s="983"/>
      <c r="O3" s="984"/>
      <c r="P3" s="984"/>
      <c r="Q3" s="985"/>
    </row>
    <row r="4" spans="1:17" ht="13.5" customHeight="1">
      <c r="A4" s="480"/>
      <c r="B4" s="481"/>
      <c r="C4" s="482" t="s">
        <v>65</v>
      </c>
      <c r="D4" s="483" t="s">
        <v>121</v>
      </c>
      <c r="E4" s="483" t="s">
        <v>122</v>
      </c>
      <c r="F4" s="483" t="s">
        <v>123</v>
      </c>
      <c r="G4" s="483" t="s">
        <v>124</v>
      </c>
      <c r="H4" s="484" t="s">
        <v>125</v>
      </c>
      <c r="J4" s="986"/>
      <c r="K4" s="987"/>
      <c r="L4" s="988">
        <v>46208</v>
      </c>
      <c r="M4" s="989">
        <v>2027</v>
      </c>
      <c r="N4" s="989">
        <v>2028</v>
      </c>
      <c r="O4" s="989">
        <v>2029</v>
      </c>
      <c r="P4" s="989">
        <v>2030</v>
      </c>
      <c r="Q4" s="990" t="s">
        <v>1004</v>
      </c>
    </row>
    <row r="5" spans="1:17" ht="13.5" customHeight="1">
      <c r="A5" s="485"/>
      <c r="B5" s="486" t="s">
        <v>20</v>
      </c>
      <c r="C5" s="487"/>
      <c r="D5" s="487"/>
      <c r="E5" s="487"/>
      <c r="F5" s="488"/>
      <c r="G5" s="488"/>
      <c r="H5" s="489"/>
      <c r="J5" s="991"/>
      <c r="K5" s="992" t="s">
        <v>20</v>
      </c>
      <c r="L5" s="993"/>
      <c r="M5" s="994"/>
      <c r="N5" s="994"/>
      <c r="O5" s="995"/>
      <c r="P5" s="995"/>
      <c r="Q5" s="996"/>
    </row>
    <row r="6" spans="1:17" ht="13.5" customHeight="1">
      <c r="A6" s="624" t="s">
        <v>775</v>
      </c>
      <c r="B6" s="621"/>
      <c r="C6" s="386"/>
      <c r="D6" s="386"/>
      <c r="E6" s="386"/>
      <c r="F6" s="386"/>
      <c r="G6" s="386"/>
      <c r="H6" s="453"/>
      <c r="J6" s="1022" t="s">
        <v>775</v>
      </c>
      <c r="K6" s="997"/>
      <c r="L6" s="998"/>
      <c r="M6" s="999"/>
      <c r="N6" s="999"/>
      <c r="O6" s="999"/>
      <c r="P6" s="999"/>
      <c r="Q6" s="1000"/>
    </row>
    <row r="7" spans="1:17" ht="13.5" customHeight="1">
      <c r="A7" s="4"/>
      <c r="B7" s="162" t="s">
        <v>778</v>
      </c>
      <c r="C7" s="386">
        <f>'P&amp;L - 5 year'!P7</f>
        <v>1479311.5</v>
      </c>
      <c r="D7" s="386">
        <f>'P&amp;L - 5 year'!AC7</f>
        <v>27665784.100000001</v>
      </c>
      <c r="E7" s="386">
        <f>'P&amp;L - 5 year'!AP7</f>
        <v>23722653.300000001</v>
      </c>
      <c r="F7" s="386">
        <f>'P&amp;L - 5 year'!BC7</f>
        <v>28275344</v>
      </c>
      <c r="G7" s="386">
        <f>'P&amp;L - 5 year'!BP7</f>
        <v>36076942.549999997</v>
      </c>
      <c r="H7" s="453">
        <f t="shared" ref="H7" si="0">C7+D7+E7+F7+G7</f>
        <v>117220035.45</v>
      </c>
      <c r="J7" s="982"/>
      <c r="K7" s="1001" t="s">
        <v>1003</v>
      </c>
      <c r="L7" s="998">
        <f t="shared" ref="L7:Q7" si="1">C7</f>
        <v>1479311.5</v>
      </c>
      <c r="M7" s="998">
        <f t="shared" si="1"/>
        <v>27665784.100000001</v>
      </c>
      <c r="N7" s="998">
        <f t="shared" si="1"/>
        <v>23722653.300000001</v>
      </c>
      <c r="O7" s="998">
        <f t="shared" si="1"/>
        <v>28275344</v>
      </c>
      <c r="P7" s="998">
        <f t="shared" si="1"/>
        <v>36076942.549999997</v>
      </c>
      <c r="Q7" s="1023">
        <f t="shared" si="1"/>
        <v>117220035.45</v>
      </c>
    </row>
    <row r="8" spans="1:17" ht="13.5" customHeight="1">
      <c r="A8" s="4" t="s">
        <v>919</v>
      </c>
      <c r="B8" s="162"/>
      <c r="C8" s="386">
        <f>'P&amp;L - 5 year'!P8</f>
        <v>0</v>
      </c>
      <c r="D8" s="386">
        <f>'P&amp;L - 5 year'!AC8</f>
        <v>0</v>
      </c>
      <c r="E8" s="386">
        <f>'P&amp;L - 5 year'!AP8</f>
        <v>0</v>
      </c>
      <c r="F8" s="386">
        <f>'P&amp;L - 5 year'!BC8</f>
        <v>0</v>
      </c>
      <c r="G8" s="386">
        <f>'P&amp;L - 5 year'!BP8</f>
        <v>0</v>
      </c>
      <c r="H8" s="453">
        <f t="shared" ref="H8:H17" si="2">C8+D8+E8+F8+G8</f>
        <v>0</v>
      </c>
      <c r="J8" s="1024" t="s">
        <v>779</v>
      </c>
      <c r="K8" s="1001"/>
      <c r="L8" s="998"/>
      <c r="M8" s="998"/>
      <c r="N8" s="998"/>
      <c r="O8" s="998"/>
      <c r="P8" s="998"/>
      <c r="Q8" s="1023"/>
    </row>
    <row r="9" spans="1:17" ht="13.5" customHeight="1">
      <c r="A9" s="4"/>
      <c r="B9" s="162" t="s">
        <v>1028</v>
      </c>
      <c r="C9" s="386">
        <f>'P&amp;L - 5 year'!P9</f>
        <v>0</v>
      </c>
      <c r="D9" s="386">
        <f>'P&amp;L - 5 year'!AC9</f>
        <v>2258473</v>
      </c>
      <c r="E9" s="386">
        <f>'P&amp;L - 5 year'!AP9</f>
        <v>3239286.25</v>
      </c>
      <c r="F9" s="386">
        <f>'P&amp;L - 5 year'!BC9</f>
        <v>4220099.5</v>
      </c>
      <c r="G9" s="386">
        <f>'P&amp;L - 5 year'!BP9</f>
        <v>5200912.75</v>
      </c>
      <c r="H9" s="453">
        <f t="shared" si="2"/>
        <v>14918771.5</v>
      </c>
      <c r="I9" s="981"/>
      <c r="J9" s="982"/>
      <c r="K9" s="1001" t="s">
        <v>67</v>
      </c>
      <c r="L9" s="998">
        <f t="shared" ref="L9:Q11" si="3">C15</f>
        <v>0</v>
      </c>
      <c r="M9" s="998">
        <f t="shared" si="3"/>
        <v>213842.83767210017</v>
      </c>
      <c r="N9" s="998">
        <f t="shared" si="3"/>
        <v>671130.42990866222</v>
      </c>
      <c r="O9" s="998">
        <f t="shared" si="3"/>
        <v>2106294.7857063119</v>
      </c>
      <c r="P9" s="998">
        <f t="shared" si="3"/>
        <v>6610455.3252001731</v>
      </c>
      <c r="Q9" s="1023">
        <f t="shared" si="3"/>
        <v>9601723.378487248</v>
      </c>
    </row>
    <row r="10" spans="1:17" ht="13.5" customHeight="1">
      <c r="A10" s="4"/>
      <c r="B10" s="162" t="s">
        <v>1029</v>
      </c>
      <c r="C10" s="386">
        <f>'P&amp;L - 5 year'!P10</f>
        <v>0</v>
      </c>
      <c r="D10" s="386">
        <f>'P&amp;L - 5 year'!AC10</f>
        <v>2797099.25</v>
      </c>
      <c r="E10" s="386">
        <f>'P&amp;L - 5 year'!AP10</f>
        <v>1998471.3</v>
      </c>
      <c r="F10" s="386">
        <f>'P&amp;L - 5 year'!BC10</f>
        <v>2093636.6</v>
      </c>
      <c r="G10" s="386">
        <f>'P&amp;L - 5 year'!BP10</f>
        <v>0</v>
      </c>
      <c r="H10" s="453">
        <f t="shared" si="2"/>
        <v>6889207.1500000004</v>
      </c>
      <c r="J10" s="982"/>
      <c r="K10" s="1001" t="s">
        <v>68</v>
      </c>
      <c r="L10" s="998">
        <f t="shared" si="3"/>
        <v>0</v>
      </c>
      <c r="M10" s="998">
        <f t="shared" si="3"/>
        <v>600000</v>
      </c>
      <c r="N10" s="998">
        <f t="shared" si="3"/>
        <v>957032.14299148694</v>
      </c>
      <c r="O10" s="998">
        <f t="shared" si="3"/>
        <v>2155419.7428105809</v>
      </c>
      <c r="P10" s="998">
        <f t="shared" si="3"/>
        <v>4854418.215438094</v>
      </c>
      <c r="Q10" s="1023">
        <f t="shared" si="3"/>
        <v>8566870.1012401618</v>
      </c>
    </row>
    <row r="11" spans="1:17" ht="13.5" customHeight="1">
      <c r="A11" s="4"/>
      <c r="B11" s="162" t="s">
        <v>998</v>
      </c>
      <c r="C11" s="386">
        <f>'P&amp;L - 5 year'!P12</f>
        <v>0</v>
      </c>
      <c r="D11" s="386">
        <f>'P&amp;L - 5 year'!AC12</f>
        <v>1587227.7</v>
      </c>
      <c r="E11" s="386">
        <f>'P&amp;L - 5 year'!AP12</f>
        <v>1058151.8</v>
      </c>
      <c r="F11" s="386">
        <f>'P&amp;L - 5 year'!BC12</f>
        <v>1058151.8</v>
      </c>
      <c r="G11" s="386">
        <f>'P&amp;L - 5 year'!BP12</f>
        <v>1058151.8</v>
      </c>
      <c r="H11" s="453">
        <f t="shared" si="2"/>
        <v>4761683.0999999996</v>
      </c>
      <c r="J11" s="982"/>
      <c r="K11" s="1001" t="s">
        <v>69</v>
      </c>
      <c r="L11" s="998">
        <f t="shared" si="3"/>
        <v>0</v>
      </c>
      <c r="M11" s="998">
        <f t="shared" si="3"/>
        <v>213842.83767210017</v>
      </c>
      <c r="N11" s="998">
        <f t="shared" si="3"/>
        <v>671130.42990866222</v>
      </c>
      <c r="O11" s="998">
        <f t="shared" si="3"/>
        <v>2106294.7857063119</v>
      </c>
      <c r="P11" s="998">
        <f t="shared" si="3"/>
        <v>6610455.3252001731</v>
      </c>
      <c r="Q11" s="1023">
        <f t="shared" si="3"/>
        <v>9601723.378487248</v>
      </c>
    </row>
    <row r="12" spans="1:17" ht="13.5" customHeight="1" thickBot="1">
      <c r="A12" s="6" t="s">
        <v>776</v>
      </c>
      <c r="B12" s="377"/>
      <c r="C12" s="386">
        <f>'P&amp;L - 5 year'!P14</f>
        <v>0</v>
      </c>
      <c r="D12" s="386">
        <f>'P&amp;L - 5 year'!AC14</f>
        <v>0</v>
      </c>
      <c r="E12" s="386">
        <f>'P&amp;L - 5 year'!AP14</f>
        <v>0</v>
      </c>
      <c r="F12" s="386">
        <f>'P&amp;L - 5 year'!BC14</f>
        <v>0</v>
      </c>
      <c r="G12" s="386">
        <f>'P&amp;L - 5 year'!BP14</f>
        <v>0</v>
      </c>
      <c r="H12" s="453">
        <f t="shared" si="2"/>
        <v>0</v>
      </c>
      <c r="J12" s="1025"/>
      <c r="K12" s="1002" t="s">
        <v>70</v>
      </c>
      <c r="L12" s="1003">
        <f t="shared" ref="L12:Q12" si="4">SUM(L7:L11)</f>
        <v>1479311.5</v>
      </c>
      <c r="M12" s="1003">
        <f t="shared" si="4"/>
        <v>28693469.7753442</v>
      </c>
      <c r="N12" s="1003">
        <f t="shared" si="4"/>
        <v>26021946.302808814</v>
      </c>
      <c r="O12" s="1003">
        <f t="shared" si="4"/>
        <v>34643353.314223208</v>
      </c>
      <c r="P12" s="1003">
        <f t="shared" si="4"/>
        <v>54152271.415838435</v>
      </c>
      <c r="Q12" s="1026">
        <f t="shared" si="4"/>
        <v>144990352.30821466</v>
      </c>
    </row>
    <row r="13" spans="1:17" ht="13.5" customHeight="1" thickTop="1">
      <c r="A13" s="4"/>
      <c r="B13" s="162" t="s">
        <v>777</v>
      </c>
      <c r="C13" s="386">
        <f>'P&amp;L - 5 year'!P15</f>
        <v>0</v>
      </c>
      <c r="D13" s="386">
        <f>'P&amp;L - 5 year'!AC15</f>
        <v>160416.66666666669</v>
      </c>
      <c r="E13" s="386">
        <f>'P&amp;L - 5 year'!AP15</f>
        <v>13750000.000000002</v>
      </c>
      <c r="F13" s="386">
        <f>'P&amp;L - 5 year'!BC15</f>
        <v>39600000</v>
      </c>
      <c r="G13" s="386">
        <f>'P&amp;L - 5 year'!BP15</f>
        <v>78375000</v>
      </c>
      <c r="H13" s="453">
        <f t="shared" si="2"/>
        <v>131885416.66666667</v>
      </c>
      <c r="J13" s="982"/>
      <c r="K13" s="983"/>
      <c r="L13" s="1004"/>
      <c r="M13" s="1005"/>
      <c r="N13" s="1005"/>
      <c r="O13" s="1006"/>
      <c r="P13" s="1006"/>
      <c r="Q13" s="1007"/>
    </row>
    <row r="14" spans="1:17" ht="13.5" customHeight="1">
      <c r="A14" s="6" t="s">
        <v>779</v>
      </c>
      <c r="B14" s="162"/>
      <c r="C14" s="386">
        <f>'P&amp;L - 5 year'!P18</f>
        <v>0</v>
      </c>
      <c r="D14" s="386">
        <f>'P&amp;L - 5 year'!AC18</f>
        <v>0</v>
      </c>
      <c r="E14" s="386">
        <f>'P&amp;L - 5 year'!AP18</f>
        <v>0</v>
      </c>
      <c r="F14" s="386">
        <f>'P&amp;L - 5 year'!BC18</f>
        <v>0</v>
      </c>
      <c r="G14" s="386">
        <f>'P&amp;L - 5 year'!BP18</f>
        <v>0</v>
      </c>
      <c r="H14" s="453">
        <f t="shared" si="2"/>
        <v>0</v>
      </c>
      <c r="J14" s="1027"/>
      <c r="K14" s="379" t="s">
        <v>71</v>
      </c>
      <c r="L14" s="1008"/>
      <c r="M14" s="1008"/>
      <c r="N14" s="1008"/>
      <c r="O14" s="1009"/>
      <c r="P14" s="1009"/>
      <c r="Q14" s="1010"/>
    </row>
    <row r="15" spans="1:17" ht="13.5" customHeight="1">
      <c r="A15" s="4"/>
      <c r="B15" s="377" t="s">
        <v>67</v>
      </c>
      <c r="C15" s="386">
        <f>'P&amp;L - 5 year'!P19</f>
        <v>0</v>
      </c>
      <c r="D15" s="386">
        <f>'P&amp;L - 5 year'!AC19</f>
        <v>213842.83767210017</v>
      </c>
      <c r="E15" s="386">
        <f>'P&amp;L - 5 year'!AP19</f>
        <v>671130.42990866222</v>
      </c>
      <c r="F15" s="386">
        <f>'P&amp;L - 5 year'!BC19</f>
        <v>2106294.7857063119</v>
      </c>
      <c r="G15" s="386">
        <f>'P&amp;L - 5 year'!BP19</f>
        <v>6610455.3252001731</v>
      </c>
      <c r="H15" s="453">
        <f t="shared" si="2"/>
        <v>9601723.378487248</v>
      </c>
      <c r="J15" s="1028" t="s">
        <v>71</v>
      </c>
      <c r="K15" s="1011"/>
      <c r="L15" s="1012"/>
      <c r="M15" s="1013"/>
      <c r="N15" s="1013"/>
      <c r="O15" s="1014"/>
      <c r="P15" s="1014"/>
      <c r="Q15" s="1015"/>
    </row>
    <row r="16" spans="1:17" ht="13.5" customHeight="1">
      <c r="A16" s="4"/>
      <c r="B16" s="377" t="s">
        <v>68</v>
      </c>
      <c r="C16" s="386">
        <f>'P&amp;L - 5 year'!P20</f>
        <v>0</v>
      </c>
      <c r="D16" s="386">
        <f>'P&amp;L - 5 year'!AC20</f>
        <v>600000</v>
      </c>
      <c r="E16" s="386">
        <f>'P&amp;L - 5 year'!AP20</f>
        <v>957032.14299148694</v>
      </c>
      <c r="F16" s="386">
        <f>'P&amp;L - 5 year'!BC20</f>
        <v>2155419.7428105809</v>
      </c>
      <c r="G16" s="386">
        <f>'P&amp;L - 5 year'!BP20</f>
        <v>4854418.215438094</v>
      </c>
      <c r="H16" s="453">
        <f t="shared" si="2"/>
        <v>8566870.1012401618</v>
      </c>
      <c r="J16" s="982"/>
      <c r="K16" s="1001" t="s">
        <v>582</v>
      </c>
      <c r="L16" s="998">
        <f t="shared" ref="L16:Q16" si="5">C22</f>
        <v>417165.84299999999</v>
      </c>
      <c r="M16" s="998">
        <f t="shared" si="5"/>
        <v>13361397.749</v>
      </c>
      <c r="N16" s="998">
        <f t="shared" si="5"/>
        <v>11449690.063000001</v>
      </c>
      <c r="O16" s="998">
        <f t="shared" si="5"/>
        <v>13337632.876</v>
      </c>
      <c r="P16" s="998">
        <f t="shared" si="5"/>
        <v>16795425.678999998</v>
      </c>
      <c r="Q16" s="1023">
        <f t="shared" si="5"/>
        <v>55361312.210000001</v>
      </c>
    </row>
    <row r="17" spans="1:17" ht="13.5" customHeight="1">
      <c r="A17" s="4"/>
      <c r="B17" s="377" t="s">
        <v>69</v>
      </c>
      <c r="C17" s="386">
        <f>'P&amp;L - 5 year'!P21</f>
        <v>0</v>
      </c>
      <c r="D17" s="386">
        <f>'P&amp;L - 5 year'!AC21</f>
        <v>213842.83767210017</v>
      </c>
      <c r="E17" s="386">
        <f>'P&amp;L - 5 year'!AP21</f>
        <v>671130.42990866222</v>
      </c>
      <c r="F17" s="386">
        <f>'P&amp;L - 5 year'!BC21</f>
        <v>2106294.7857063119</v>
      </c>
      <c r="G17" s="386">
        <f>'P&amp;L - 5 year'!BP21</f>
        <v>6610455.3252001731</v>
      </c>
      <c r="H17" s="453">
        <f t="shared" si="2"/>
        <v>9601723.378487248</v>
      </c>
      <c r="J17" s="982"/>
      <c r="K17" s="1001" t="s">
        <v>718</v>
      </c>
      <c r="L17" s="998">
        <f t="shared" ref="L17:Q17" si="6">C27</f>
        <v>29586.23</v>
      </c>
      <c r="M17" s="998">
        <f t="shared" si="6"/>
        <v>261864.72600000002</v>
      </c>
      <c r="N17" s="998">
        <f t="shared" si="6"/>
        <v>237226.533</v>
      </c>
      <c r="O17" s="998">
        <f t="shared" si="6"/>
        <v>282753.44</v>
      </c>
      <c r="P17" s="998">
        <f t="shared" si="6"/>
        <v>360769.42550000001</v>
      </c>
      <c r="Q17" s="1023">
        <f t="shared" si="6"/>
        <v>1172200.3544999999</v>
      </c>
    </row>
    <row r="18" spans="1:17" ht="13.5" customHeight="1" thickBot="1">
      <c r="A18" s="40"/>
      <c r="B18" s="378" t="s">
        <v>70</v>
      </c>
      <c r="C18" s="343">
        <f>SUM(C6:C17)</f>
        <v>1479311.5</v>
      </c>
      <c r="D18" s="343">
        <f t="shared" ref="D18:H18" si="7">SUM(D6:D17)</f>
        <v>35496686.392010868</v>
      </c>
      <c r="E18" s="343">
        <f t="shared" si="7"/>
        <v>46067855.652808815</v>
      </c>
      <c r="F18" s="343">
        <f t="shared" si="7"/>
        <v>81615241.214223206</v>
      </c>
      <c r="G18" s="343">
        <f t="shared" si="7"/>
        <v>138786335.96583843</v>
      </c>
      <c r="H18" s="455">
        <f t="shared" si="7"/>
        <v>303445430.72488129</v>
      </c>
      <c r="J18" s="1029"/>
      <c r="K18" s="1016" t="s">
        <v>74</v>
      </c>
      <c r="L18" s="1017">
        <f t="shared" ref="L18:Q18" si="8">SUM(L16:L17)</f>
        <v>446752.07299999997</v>
      </c>
      <c r="M18" s="1017">
        <f t="shared" si="8"/>
        <v>13623262.475</v>
      </c>
      <c r="N18" s="1017">
        <f t="shared" si="8"/>
        <v>11686916.596000001</v>
      </c>
      <c r="O18" s="1017">
        <f t="shared" si="8"/>
        <v>13620386.316</v>
      </c>
      <c r="P18" s="1017">
        <f t="shared" si="8"/>
        <v>17156195.104499999</v>
      </c>
      <c r="Q18" s="1030">
        <f t="shared" si="8"/>
        <v>56533512.564500004</v>
      </c>
    </row>
    <row r="19" spans="1:17" ht="13.5" customHeight="1" thickTop="1">
      <c r="A19" s="4"/>
      <c r="B19" s="328"/>
      <c r="C19" s="357"/>
      <c r="D19" s="357"/>
      <c r="E19" s="357"/>
      <c r="F19" s="358"/>
      <c r="G19" s="358"/>
      <c r="H19" s="456"/>
      <c r="J19" s="1031"/>
      <c r="K19" s="983"/>
      <c r="L19" s="1004"/>
      <c r="M19" s="1005"/>
      <c r="N19" s="1005"/>
      <c r="O19" s="1006"/>
      <c r="P19" s="1006"/>
      <c r="Q19" s="1007"/>
    </row>
    <row r="20" spans="1:17" ht="13.5" customHeight="1">
      <c r="A20" s="32"/>
      <c r="B20" s="379" t="s">
        <v>71</v>
      </c>
      <c r="C20" s="348"/>
      <c r="D20" s="348"/>
      <c r="E20" s="348"/>
      <c r="F20" s="338"/>
      <c r="G20" s="338"/>
      <c r="H20" s="457"/>
      <c r="J20" s="1027"/>
      <c r="K20" s="379" t="s">
        <v>76</v>
      </c>
      <c r="L20" s="1008"/>
      <c r="M20" s="1008"/>
      <c r="N20" s="1008"/>
      <c r="O20" s="1009"/>
      <c r="P20" s="1009"/>
      <c r="Q20" s="1010"/>
    </row>
    <row r="21" spans="1:17" ht="13.5" customHeight="1">
      <c r="A21" s="50" t="s">
        <v>71</v>
      </c>
      <c r="B21" s="380"/>
      <c r="C21" s="350"/>
      <c r="D21" s="350"/>
      <c r="E21" s="350"/>
      <c r="F21" s="352"/>
      <c r="G21" s="352"/>
      <c r="H21" s="459"/>
      <c r="J21" s="1028" t="s">
        <v>77</v>
      </c>
      <c r="K21" s="1011"/>
      <c r="L21" s="1012"/>
      <c r="M21" s="1013"/>
      <c r="N21" s="1013"/>
      <c r="O21" s="1014"/>
      <c r="P21" s="1014"/>
      <c r="Q21" s="1015"/>
    </row>
    <row r="22" spans="1:17" ht="13.5" customHeight="1">
      <c r="A22" s="4"/>
      <c r="B22" s="377" t="s">
        <v>582</v>
      </c>
      <c r="C22" s="386">
        <f>'P&amp;L - 5 year'!P26</f>
        <v>417165.84299999999</v>
      </c>
      <c r="D22" s="386">
        <f>'P&amp;L - 5 year'!AC26</f>
        <v>13361397.749</v>
      </c>
      <c r="E22" s="386">
        <f>'P&amp;L - 5 year'!AP26</f>
        <v>11449690.063000001</v>
      </c>
      <c r="F22" s="386">
        <f>'P&amp;L - 5 year'!BC26</f>
        <v>13337632.876</v>
      </c>
      <c r="G22" s="386">
        <f>'P&amp;L - 5 year'!BP26</f>
        <v>16795425.678999998</v>
      </c>
      <c r="H22" s="453">
        <f t="shared" ref="H22" si="9">C22+D22+E22+F22+G22</f>
        <v>55361312.210000001</v>
      </c>
      <c r="J22" s="982"/>
      <c r="K22" s="1001" t="s">
        <v>1002</v>
      </c>
      <c r="L22" s="998">
        <f t="shared" ref="L22:Q22" si="10">C36</f>
        <v>200000</v>
      </c>
      <c r="M22" s="998">
        <f t="shared" si="10"/>
        <v>3749300.5840000003</v>
      </c>
      <c r="N22" s="998">
        <f t="shared" si="10"/>
        <v>8659657.5273000002</v>
      </c>
      <c r="O22" s="998">
        <f t="shared" si="10"/>
        <v>6743669.5440000016</v>
      </c>
      <c r="P22" s="998">
        <f t="shared" si="10"/>
        <v>8604350.7981749997</v>
      </c>
      <c r="Q22" s="1023">
        <f t="shared" si="10"/>
        <v>27956978.453475002</v>
      </c>
    </row>
    <row r="23" spans="1:17" ht="13.5" customHeight="1">
      <c r="A23" s="4"/>
      <c r="B23" s="162" t="s">
        <v>920</v>
      </c>
      <c r="C23" s="386">
        <f>'P&amp;L - 5 year'!P27</f>
        <v>0</v>
      </c>
      <c r="D23" s="386">
        <f>'P&amp;L - 5 year'!AC27</f>
        <v>1129236.5</v>
      </c>
      <c r="E23" s="386">
        <f>'P&amp;L - 5 year'!AP27</f>
        <v>1619643.13</v>
      </c>
      <c r="F23" s="386">
        <f>'P&amp;L - 5 year'!BC27</f>
        <v>2110049.75</v>
      </c>
      <c r="G23" s="386">
        <f>'P&amp;L - 5 year'!BP27</f>
        <v>2600456.38</v>
      </c>
      <c r="H23" s="453">
        <f t="shared" ref="H23:H31" si="11">C23+D23+E23+F23+G23</f>
        <v>7459385.7599999998</v>
      </c>
      <c r="J23" s="982"/>
      <c r="K23" s="1001" t="s">
        <v>573</v>
      </c>
      <c r="L23" s="998">
        <f t="shared" ref="L23:Q25" si="12">C41</f>
        <v>0</v>
      </c>
      <c r="M23" s="998">
        <f t="shared" si="12"/>
        <v>96229.27695244507</v>
      </c>
      <c r="N23" s="998">
        <f t="shared" si="12"/>
        <v>302008.69345889805</v>
      </c>
      <c r="O23" s="998">
        <f t="shared" si="12"/>
        <v>947832.65356784023</v>
      </c>
      <c r="P23" s="998">
        <f t="shared" si="12"/>
        <v>2974704.8963400777</v>
      </c>
      <c r="Q23" s="1023">
        <f t="shared" si="12"/>
        <v>4320775.5203192607</v>
      </c>
    </row>
    <row r="24" spans="1:17" ht="13.5" customHeight="1">
      <c r="A24" s="4"/>
      <c r="B24" s="162" t="s">
        <v>921</v>
      </c>
      <c r="C24" s="386">
        <f>'P&amp;L - 5 year'!P28</f>
        <v>0</v>
      </c>
      <c r="D24" s="386">
        <f>'P&amp;L - 5 year'!AC28</f>
        <v>1398549.63</v>
      </c>
      <c r="E24" s="386">
        <f>'P&amp;L - 5 year'!AP28</f>
        <v>999235.66</v>
      </c>
      <c r="F24" s="386">
        <f>'P&amp;L - 5 year'!BC28</f>
        <v>1046818.3</v>
      </c>
      <c r="G24" s="386">
        <f>'P&amp;L - 5 year'!BP28</f>
        <v>0</v>
      </c>
      <c r="H24" s="453">
        <f t="shared" si="11"/>
        <v>3444603.59</v>
      </c>
      <c r="J24" s="982"/>
      <c r="K24" s="1001" t="s">
        <v>574</v>
      </c>
      <c r="L24" s="998">
        <f t="shared" si="12"/>
        <v>0</v>
      </c>
      <c r="M24" s="998">
        <f t="shared" si="12"/>
        <v>135000</v>
      </c>
      <c r="N24" s="998">
        <f t="shared" si="12"/>
        <v>210971.36162878893</v>
      </c>
      <c r="O24" s="998">
        <f t="shared" si="12"/>
        <v>475147.92617197114</v>
      </c>
      <c r="P24" s="998">
        <f t="shared" si="12"/>
        <v>2382845.1800873121</v>
      </c>
      <c r="Q24" s="1023">
        <f t="shared" si="12"/>
        <v>3203964.4678880721</v>
      </c>
    </row>
    <row r="25" spans="1:17" ht="13.5" customHeight="1">
      <c r="A25" s="4"/>
      <c r="B25" s="162" t="s">
        <v>999</v>
      </c>
      <c r="C25" s="386">
        <f>'P&amp;L - 5 year'!P30</f>
        <v>0</v>
      </c>
      <c r="D25" s="386">
        <f>'P&amp;L - 5 year'!AC30</f>
        <v>793613.85</v>
      </c>
      <c r="E25" s="386">
        <f>'P&amp;L - 5 year'!AP30</f>
        <v>529075.9</v>
      </c>
      <c r="F25" s="386">
        <f>'P&amp;L - 5 year'!BC30</f>
        <v>529075.9</v>
      </c>
      <c r="G25" s="386">
        <f>'P&amp;L - 5 year'!BP30</f>
        <v>529075.9</v>
      </c>
      <c r="H25" s="453">
        <f t="shared" si="11"/>
        <v>2380841.5499999998</v>
      </c>
      <c r="J25" s="1032"/>
      <c r="K25" s="1018" t="s">
        <v>575</v>
      </c>
      <c r="L25" s="998">
        <f t="shared" si="12"/>
        <v>0</v>
      </c>
      <c r="M25" s="998">
        <f t="shared" si="12"/>
        <v>128305.70260326007</v>
      </c>
      <c r="N25" s="998">
        <f t="shared" si="12"/>
        <v>402678.25794519734</v>
      </c>
      <c r="O25" s="998">
        <f t="shared" si="12"/>
        <v>1263776.871423787</v>
      </c>
      <c r="P25" s="998">
        <f t="shared" si="12"/>
        <v>3966273.1951201037</v>
      </c>
      <c r="Q25" s="1023">
        <f t="shared" si="12"/>
        <v>5761034.0270923479</v>
      </c>
    </row>
    <row r="26" spans="1:17" ht="13.5" customHeight="1">
      <c r="A26" s="4"/>
      <c r="B26" s="162" t="s">
        <v>780</v>
      </c>
      <c r="C26" s="386">
        <f>'P&amp;L - 5 year'!P32</f>
        <v>0</v>
      </c>
      <c r="D26" s="386">
        <f>'P&amp;L - 5 year'!AC32</f>
        <v>1288000.0000000002</v>
      </c>
      <c r="E26" s="386">
        <f>'P&amp;L - 5 year'!AP32</f>
        <v>7022400.0000000009</v>
      </c>
      <c r="F26" s="386">
        <f>'P&amp;L - 5 year'!BC32</f>
        <v>15220800.000000002</v>
      </c>
      <c r="G26" s="386">
        <f>'P&amp;L - 5 year'!BP32</f>
        <v>27518400.000000004</v>
      </c>
      <c r="H26" s="453">
        <f t="shared" si="11"/>
        <v>51049600.000000007</v>
      </c>
      <c r="J26" s="1029"/>
      <c r="K26" s="1016" t="s">
        <v>76</v>
      </c>
      <c r="L26" s="1017">
        <f t="shared" ref="L26:Q26" si="13">SUM(L22:L25)</f>
        <v>200000</v>
      </c>
      <c r="M26" s="1017">
        <f t="shared" si="13"/>
        <v>4108835.5635557054</v>
      </c>
      <c r="N26" s="1017">
        <f t="shared" si="13"/>
        <v>9575315.8403328843</v>
      </c>
      <c r="O26" s="1017">
        <f t="shared" si="13"/>
        <v>9430426.9951636009</v>
      </c>
      <c r="P26" s="1017">
        <f t="shared" si="13"/>
        <v>17928174.069722492</v>
      </c>
      <c r="Q26" s="1030">
        <f t="shared" si="13"/>
        <v>41242752.468774684</v>
      </c>
    </row>
    <row r="27" spans="1:17" ht="13.5" customHeight="1">
      <c r="A27" s="447"/>
      <c r="B27" s="388" t="s">
        <v>718</v>
      </c>
      <c r="C27" s="386">
        <f>'P&amp;L - 5 year'!P34</f>
        <v>29586.23</v>
      </c>
      <c r="D27" s="386">
        <f>'P&amp;L - 5 year'!AC34</f>
        <v>261864.72600000002</v>
      </c>
      <c r="E27" s="386">
        <f>'P&amp;L - 5 year'!AP34</f>
        <v>237226.533</v>
      </c>
      <c r="F27" s="386">
        <f>'P&amp;L - 5 year'!BC34</f>
        <v>282753.44</v>
      </c>
      <c r="G27" s="386">
        <f>'P&amp;L - 5 year'!BP34</f>
        <v>360769.42550000001</v>
      </c>
      <c r="H27" s="453">
        <f t="shared" si="11"/>
        <v>1172200.3544999999</v>
      </c>
      <c r="J27" s="982"/>
      <c r="K27" s="983"/>
      <c r="L27" s="1004"/>
      <c r="M27" s="1005"/>
      <c r="N27" s="1005"/>
      <c r="O27" s="1006"/>
      <c r="P27" s="1006"/>
      <c r="Q27" s="1007"/>
    </row>
    <row r="28" spans="1:17" ht="13.5" customHeight="1">
      <c r="A28" s="447"/>
      <c r="B28" s="162" t="s">
        <v>922</v>
      </c>
      <c r="C28" s="386">
        <f>'P&amp;L - 5 year'!P35</f>
        <v>0</v>
      </c>
      <c r="D28" s="386">
        <f>'P&amp;L - 5 year'!AC35</f>
        <v>22584.73</v>
      </c>
      <c r="E28" s="386">
        <f>'P&amp;L - 5 year'!AP35</f>
        <v>32392.862499999999</v>
      </c>
      <c r="F28" s="386">
        <f>'P&amp;L - 5 year'!BC35</f>
        <v>42200.995000000003</v>
      </c>
      <c r="G28" s="386">
        <f>'P&amp;L - 5 year'!BP35</f>
        <v>52009.127500000002</v>
      </c>
      <c r="H28" s="453">
        <f t="shared" si="11"/>
        <v>149187.715</v>
      </c>
      <c r="J28" s="1033"/>
      <c r="K28" s="383" t="s">
        <v>84</v>
      </c>
      <c r="L28" s="1019"/>
      <c r="M28" s="1019"/>
      <c r="N28" s="1019"/>
      <c r="O28" s="1020"/>
      <c r="P28" s="1020"/>
      <c r="Q28" s="1021"/>
    </row>
    <row r="29" spans="1:17" ht="13.5" customHeight="1">
      <c r="A29" s="447"/>
      <c r="B29" s="162" t="s">
        <v>923</v>
      </c>
      <c r="C29" s="386">
        <f>'P&amp;L - 5 year'!P36</f>
        <v>0</v>
      </c>
      <c r="D29" s="386">
        <f>'P&amp;L - 5 year'!AC36</f>
        <v>27970.9925</v>
      </c>
      <c r="E29" s="386">
        <f>'P&amp;L - 5 year'!AP36</f>
        <v>19984.713</v>
      </c>
      <c r="F29" s="386">
        <f>'P&amp;L - 5 year'!BC36</f>
        <v>20936.366000000002</v>
      </c>
      <c r="G29" s="386">
        <f>'P&amp;L - 5 year'!BP36</f>
        <v>0</v>
      </c>
      <c r="H29" s="453">
        <f t="shared" si="11"/>
        <v>68892.071499999991</v>
      </c>
      <c r="J29" s="1032"/>
      <c r="K29" s="1018" t="s">
        <v>84</v>
      </c>
      <c r="L29" s="998">
        <f t="shared" ref="L29:Q29" si="14">L12-L18-L26</f>
        <v>832559.42700000003</v>
      </c>
      <c r="M29" s="998">
        <f t="shared" si="14"/>
        <v>10961371.736788496</v>
      </c>
      <c r="N29" s="998">
        <f t="shared" si="14"/>
        <v>4759713.8664759286</v>
      </c>
      <c r="O29" s="998">
        <f t="shared" si="14"/>
        <v>11592540.003059607</v>
      </c>
      <c r="P29" s="998">
        <f t="shared" si="14"/>
        <v>19067902.241615947</v>
      </c>
      <c r="Q29" s="1023">
        <f t="shared" si="14"/>
        <v>47214087.274939977</v>
      </c>
    </row>
    <row r="30" spans="1:17" ht="13.5" customHeight="1">
      <c r="A30" s="447"/>
      <c r="B30" s="162" t="s">
        <v>1000</v>
      </c>
      <c r="C30" s="386">
        <f>'P&amp;L - 5 year'!P38</f>
        <v>0</v>
      </c>
      <c r="D30" s="386">
        <f>'P&amp;L - 5 year'!AC38</f>
        <v>15872.277</v>
      </c>
      <c r="E30" s="386">
        <f>'P&amp;L - 5 year'!AP38</f>
        <v>10581.518</v>
      </c>
      <c r="F30" s="386">
        <f>'P&amp;L - 5 year'!BC38</f>
        <v>10581.518</v>
      </c>
      <c r="G30" s="386">
        <f>'P&amp;L - 5 year'!BP38</f>
        <v>10581.518</v>
      </c>
      <c r="H30" s="453">
        <f t="shared" si="11"/>
        <v>47616.830999999991</v>
      </c>
      <c r="J30" s="1034"/>
      <c r="K30" s="1035" t="s">
        <v>85</v>
      </c>
      <c r="L30" s="1036">
        <f t="shared" ref="L30:Q30" si="15">L29</f>
        <v>832559.42700000003</v>
      </c>
      <c r="M30" s="1036">
        <f t="shared" si="15"/>
        <v>10961371.736788496</v>
      </c>
      <c r="N30" s="1036">
        <f t="shared" si="15"/>
        <v>4759713.8664759286</v>
      </c>
      <c r="O30" s="1036">
        <f t="shared" si="15"/>
        <v>11592540.003059607</v>
      </c>
      <c r="P30" s="1036">
        <f t="shared" si="15"/>
        <v>19067902.241615947</v>
      </c>
      <c r="Q30" s="1037">
        <f t="shared" si="15"/>
        <v>47214087.274939977</v>
      </c>
    </row>
    <row r="31" spans="1:17" ht="13.5" customHeight="1">
      <c r="A31" s="55"/>
      <c r="B31" s="207" t="s">
        <v>781</v>
      </c>
      <c r="C31" s="386">
        <f>'P&amp;L - 5 year'!P40</f>
        <v>0</v>
      </c>
      <c r="D31" s="386">
        <f>'P&amp;L - 5 year'!AC40</f>
        <v>1283.3333333333335</v>
      </c>
      <c r="E31" s="386">
        <f>'P&amp;L - 5 year'!AP40</f>
        <v>110000.00000000001</v>
      </c>
      <c r="F31" s="386">
        <f>'P&amp;L - 5 year'!BC40</f>
        <v>316800</v>
      </c>
      <c r="G31" s="386">
        <f>'P&amp;L - 5 year'!BP40</f>
        <v>627000</v>
      </c>
      <c r="H31" s="453">
        <f t="shared" si="11"/>
        <v>1055083.3333333335</v>
      </c>
    </row>
    <row r="32" spans="1:17" ht="13.5" customHeight="1">
      <c r="A32" s="57"/>
      <c r="B32" s="382" t="s">
        <v>74</v>
      </c>
      <c r="C32" s="356">
        <f>SUM(C22:C31)</f>
        <v>446752.07299999997</v>
      </c>
      <c r="D32" s="356">
        <f t="shared" ref="D32:H32" si="16">SUM(D22:D31)</f>
        <v>18300373.787833333</v>
      </c>
      <c r="E32" s="356">
        <f t="shared" si="16"/>
        <v>22030230.379500002</v>
      </c>
      <c r="F32" s="356">
        <f t="shared" si="16"/>
        <v>32917649.145000007</v>
      </c>
      <c r="G32" s="356">
        <f t="shared" si="16"/>
        <v>48493718.029999994</v>
      </c>
      <c r="H32" s="462">
        <f t="shared" si="16"/>
        <v>122188723.41533335</v>
      </c>
    </row>
    <row r="33" spans="1:8" ht="13.5" customHeight="1">
      <c r="A33" s="62"/>
      <c r="B33" s="328"/>
      <c r="C33" s="357"/>
      <c r="D33" s="357"/>
      <c r="E33" s="357"/>
      <c r="F33" s="358"/>
      <c r="G33" s="358"/>
      <c r="H33" s="456"/>
    </row>
    <row r="34" spans="1:8" ht="13.5" customHeight="1">
      <c r="A34" s="32"/>
      <c r="B34" s="379" t="s">
        <v>76</v>
      </c>
      <c r="C34" s="348"/>
      <c r="D34" s="348"/>
      <c r="E34" s="348"/>
      <c r="F34" s="338"/>
      <c r="G34" s="338"/>
      <c r="H34" s="457"/>
    </row>
    <row r="35" spans="1:8" ht="13.5" customHeight="1">
      <c r="A35" s="50" t="s">
        <v>77</v>
      </c>
      <c r="B35" s="380"/>
      <c r="C35" s="350"/>
      <c r="D35" s="350"/>
      <c r="E35" s="350"/>
      <c r="F35" s="352"/>
      <c r="G35" s="352"/>
      <c r="H35" s="459"/>
    </row>
    <row r="36" spans="1:8" ht="13.5" customHeight="1">
      <c r="A36" s="4"/>
      <c r="B36" s="162" t="s">
        <v>583</v>
      </c>
      <c r="C36" s="386">
        <f>'P&amp;L - 5 year'!P46</f>
        <v>200000</v>
      </c>
      <c r="D36" s="386">
        <f>'P&amp;L - 5 year'!AC46</f>
        <v>3749300.5840000003</v>
      </c>
      <c r="E36" s="386">
        <f>'P&amp;L - 5 year'!AP46</f>
        <v>8659657.5273000002</v>
      </c>
      <c r="F36" s="386">
        <f>'P&amp;L - 5 year'!BC46</f>
        <v>6743669.5440000016</v>
      </c>
      <c r="G36" s="386">
        <f>'P&amp;L - 5 year'!BP46</f>
        <v>8604350.7981749997</v>
      </c>
      <c r="H36" s="453">
        <f t="shared" ref="H36" si="17">C36+D36+E36+F36+G36</f>
        <v>27956978.453475002</v>
      </c>
    </row>
    <row r="37" spans="1:8" ht="13.5" customHeight="1">
      <c r="A37" s="4"/>
      <c r="B37" s="162" t="s">
        <v>924</v>
      </c>
      <c r="C37" s="386">
        <f>'P&amp;L - 5 year'!P47</f>
        <v>25000</v>
      </c>
      <c r="D37" s="386">
        <f>'P&amp;L - 5 year'!AC47</f>
        <v>200847</v>
      </c>
      <c r="E37" s="386">
        <f>'P&amp;L - 5 year'!AP47</f>
        <v>323929</v>
      </c>
      <c r="F37" s="386">
        <f>'P&amp;L - 5 year'!BC47</f>
        <v>422010</v>
      </c>
      <c r="G37" s="386">
        <f>'P&amp;L - 5 year'!BP47</f>
        <v>520091</v>
      </c>
      <c r="H37" s="453">
        <f t="shared" ref="H37:H43" si="18">C37+D37+E37+F37+G37</f>
        <v>1491877</v>
      </c>
    </row>
    <row r="38" spans="1:8" ht="13.5" customHeight="1">
      <c r="A38" s="4"/>
      <c r="B38" s="162" t="s">
        <v>925</v>
      </c>
      <c r="C38" s="386">
        <f>'P&amp;L - 5 year'!P48</f>
        <v>100000</v>
      </c>
      <c r="D38" s="386">
        <f>'P&amp;L - 5 year'!AC48</f>
        <v>100000</v>
      </c>
      <c r="E38" s="386">
        <f>'P&amp;L - 5 year'!AP48</f>
        <v>195109</v>
      </c>
      <c r="F38" s="386">
        <f>'P&amp;L - 5 year'!BC48</f>
        <v>204606</v>
      </c>
      <c r="G38" s="386">
        <f>'P&amp;L - 5 year'!BP48</f>
        <v>104682</v>
      </c>
      <c r="H38" s="453">
        <f t="shared" si="18"/>
        <v>704397</v>
      </c>
    </row>
    <row r="39" spans="1:8" ht="13.5" customHeight="1">
      <c r="A39" s="4"/>
      <c r="B39" s="162" t="s">
        <v>1001</v>
      </c>
      <c r="C39" s="386">
        <f>'P&amp;L - 5 year'!P50</f>
        <v>30000</v>
      </c>
      <c r="D39" s="386">
        <f>'P&amp;L - 5 year'!AC50</f>
        <v>128723</v>
      </c>
      <c r="E39" s="386">
        <f>'P&amp;L - 5 year'!AP50</f>
        <v>105815</v>
      </c>
      <c r="F39" s="386">
        <f>'P&amp;L - 5 year'!BC50</f>
        <v>105815</v>
      </c>
      <c r="G39" s="386">
        <f>'P&amp;L - 5 year'!BP50</f>
        <v>105815</v>
      </c>
      <c r="H39" s="453">
        <f t="shared" si="18"/>
        <v>476168</v>
      </c>
    </row>
    <row r="40" spans="1:8" ht="13.5" customHeight="1">
      <c r="A40" s="4"/>
      <c r="B40" s="162" t="s">
        <v>782</v>
      </c>
      <c r="C40" s="386">
        <f>'P&amp;L - 5 year'!P52</f>
        <v>0</v>
      </c>
      <c r="D40" s="386">
        <f>'P&amp;L - 5 year'!AC52</f>
        <v>352916.66666666663</v>
      </c>
      <c r="E40" s="386">
        <f>'P&amp;L - 5 year'!AP52</f>
        <v>2021250</v>
      </c>
      <c r="F40" s="386">
        <f>'P&amp;L - 5 year'!BC52</f>
        <v>4606250</v>
      </c>
      <c r="G40" s="386">
        <f>'P&amp;L - 5 year'!BP52</f>
        <v>8483750</v>
      </c>
      <c r="H40" s="453">
        <f t="shared" si="18"/>
        <v>15464166.666666666</v>
      </c>
    </row>
    <row r="41" spans="1:8" ht="13.5" customHeight="1">
      <c r="A41" s="4"/>
      <c r="B41" s="377" t="s">
        <v>573</v>
      </c>
      <c r="C41" s="386">
        <f>'P&amp;L - 5 year'!P54</f>
        <v>0</v>
      </c>
      <c r="D41" s="386">
        <f>'P&amp;L - 5 year'!AC54</f>
        <v>96229.27695244507</v>
      </c>
      <c r="E41" s="386">
        <f>'P&amp;L - 5 year'!AP54</f>
        <v>302008.69345889805</v>
      </c>
      <c r="F41" s="386">
        <f>'P&amp;L - 5 year'!BC54</f>
        <v>947832.65356784023</v>
      </c>
      <c r="G41" s="386">
        <f>'P&amp;L - 5 year'!BP54</f>
        <v>2974704.8963400777</v>
      </c>
      <c r="H41" s="453">
        <f t="shared" si="18"/>
        <v>4320775.5203192607</v>
      </c>
    </row>
    <row r="42" spans="1:8" ht="13.5" customHeight="1">
      <c r="A42" s="4"/>
      <c r="B42" s="377" t="s">
        <v>574</v>
      </c>
      <c r="C42" s="386">
        <f>'P&amp;L - 5 year'!P55</f>
        <v>0</v>
      </c>
      <c r="D42" s="386">
        <f>'P&amp;L - 5 year'!AC55</f>
        <v>135000</v>
      </c>
      <c r="E42" s="386">
        <f>'P&amp;L - 5 year'!AP55</f>
        <v>210971.36162878893</v>
      </c>
      <c r="F42" s="386">
        <f>'P&amp;L - 5 year'!BC55</f>
        <v>475147.92617197114</v>
      </c>
      <c r="G42" s="386">
        <f>'P&amp;L - 5 year'!BP55</f>
        <v>2382845.1800873121</v>
      </c>
      <c r="H42" s="453">
        <f t="shared" si="18"/>
        <v>3203964.4678880721</v>
      </c>
    </row>
    <row r="43" spans="1:8" ht="13.5" customHeight="1">
      <c r="A43" s="55"/>
      <c r="B43" s="381" t="s">
        <v>575</v>
      </c>
      <c r="C43" s="386">
        <f>'P&amp;L - 5 year'!P56</f>
        <v>0</v>
      </c>
      <c r="D43" s="386">
        <f>'P&amp;L - 5 year'!AC56</f>
        <v>128305.70260326007</v>
      </c>
      <c r="E43" s="386">
        <f>'P&amp;L - 5 year'!AP56</f>
        <v>402678.25794519734</v>
      </c>
      <c r="F43" s="386">
        <f>'P&amp;L - 5 year'!BC56</f>
        <v>1263776.871423787</v>
      </c>
      <c r="G43" s="386">
        <f>'P&amp;L - 5 year'!BP56</f>
        <v>3966273.1951201037</v>
      </c>
      <c r="H43" s="453">
        <f t="shared" si="18"/>
        <v>5761034.0270923479</v>
      </c>
    </row>
    <row r="44" spans="1:8" ht="13.5" customHeight="1">
      <c r="A44" s="57"/>
      <c r="B44" s="382" t="s">
        <v>76</v>
      </c>
      <c r="C44" s="356">
        <f>SUM(C36:C43)</f>
        <v>355000</v>
      </c>
      <c r="D44" s="356">
        <f t="shared" ref="D44:H44" si="19">SUM(D36:D43)</f>
        <v>4891322.2302223723</v>
      </c>
      <c r="E44" s="356">
        <f t="shared" si="19"/>
        <v>12221418.840332884</v>
      </c>
      <c r="F44" s="356">
        <f t="shared" si="19"/>
        <v>14769107.995163599</v>
      </c>
      <c r="G44" s="356">
        <f t="shared" si="19"/>
        <v>27142512.069722496</v>
      </c>
      <c r="H44" s="462">
        <f t="shared" si="19"/>
        <v>59379361.135441348</v>
      </c>
    </row>
    <row r="45" spans="1:8" ht="13.5" customHeight="1">
      <c r="A45" s="4"/>
      <c r="B45" s="328"/>
      <c r="C45" s="357"/>
      <c r="D45" s="357"/>
      <c r="E45" s="357"/>
      <c r="F45" s="358"/>
      <c r="G45" s="358"/>
      <c r="H45" s="456"/>
    </row>
    <row r="46" spans="1:8" ht="13.5" customHeight="1">
      <c r="A46" s="64"/>
      <c r="B46" s="383" t="s">
        <v>84</v>
      </c>
      <c r="C46" s="359"/>
      <c r="D46" s="359"/>
      <c r="E46" s="359"/>
      <c r="F46" s="360"/>
      <c r="G46" s="360"/>
      <c r="H46" s="463"/>
    </row>
    <row r="47" spans="1:8" ht="13.5" customHeight="1">
      <c r="A47" s="55"/>
      <c r="B47" s="381" t="s">
        <v>84</v>
      </c>
      <c r="C47" s="386">
        <f>'P&amp;L - 5 year'!P60</f>
        <v>402559.42700000003</v>
      </c>
      <c r="D47" s="386">
        <f>'P&amp;L - 5 year'!AC60</f>
        <v>14810163.283655167</v>
      </c>
      <c r="E47" s="386">
        <f>'P&amp;L - 5 year'!AP60</f>
        <v>16903409.150975924</v>
      </c>
      <c r="F47" s="386">
        <f>'P&amp;L - 5 year'!BC60</f>
        <v>42583225.909192376</v>
      </c>
      <c r="G47" s="386">
        <f>'P&amp;L - 5 year'!BP60</f>
        <v>73315492.943315938</v>
      </c>
      <c r="H47" s="453">
        <f>C47+D47+E47+F47+G47</f>
        <v>148014850.7141394</v>
      </c>
    </row>
    <row r="48" spans="1:8" ht="13.5" customHeight="1">
      <c r="A48" s="57"/>
      <c r="B48" s="382" t="s">
        <v>85</v>
      </c>
      <c r="C48" s="356">
        <f t="shared" ref="C48:H48" si="20">SUM(C47)</f>
        <v>402559.42700000003</v>
      </c>
      <c r="D48" s="356">
        <f t="shared" si="20"/>
        <v>14810163.283655167</v>
      </c>
      <c r="E48" s="356">
        <f t="shared" si="20"/>
        <v>16903409.150975924</v>
      </c>
      <c r="F48" s="356">
        <f t="shared" si="20"/>
        <v>42583225.909192376</v>
      </c>
      <c r="G48" s="356">
        <f t="shared" si="20"/>
        <v>73315492.943315938</v>
      </c>
      <c r="H48" s="462">
        <f t="shared" si="20"/>
        <v>148014850.7141394</v>
      </c>
    </row>
    <row r="49" spans="1:8" ht="13.5" customHeight="1">
      <c r="A49" s="448"/>
      <c r="B49" s="449"/>
      <c r="C49" s="357"/>
      <c r="D49" s="357"/>
      <c r="E49" s="357"/>
      <c r="F49" s="358"/>
      <c r="G49" s="358"/>
      <c r="H49" s="456"/>
    </row>
    <row r="50" spans="1:8" ht="13.5" customHeight="1">
      <c r="A50" s="452"/>
      <c r="B50" s="376" t="s">
        <v>86</v>
      </c>
      <c r="C50" s="348"/>
      <c r="D50" s="348"/>
      <c r="E50" s="348"/>
      <c r="F50" s="338"/>
      <c r="G50" s="338"/>
      <c r="H50" s="457"/>
    </row>
    <row r="51" spans="1:8" ht="13.5" customHeight="1">
      <c r="A51" s="458" t="s">
        <v>87</v>
      </c>
      <c r="B51" s="380"/>
      <c r="C51" s="350"/>
      <c r="D51" s="350"/>
      <c r="E51" s="350"/>
      <c r="F51" s="352"/>
      <c r="G51" s="352"/>
      <c r="H51" s="459"/>
    </row>
    <row r="52" spans="1:8" ht="13.5" customHeight="1">
      <c r="A52" s="448"/>
      <c r="B52" s="388" t="s">
        <v>88</v>
      </c>
      <c r="C52" s="386">
        <f>'P&amp;L - 5 year'!P65</f>
        <v>2122500.0000000005</v>
      </c>
      <c r="D52" s="386">
        <f>'P&amp;L - 5 year'!AC65</f>
        <v>4013383.3333333335</v>
      </c>
      <c r="E52" s="386">
        <f>'P&amp;L - 5 year'!AP65</f>
        <v>10464952.000000002</v>
      </c>
      <c r="F52" s="386">
        <f>'P&amp;L - 5 year'!BC65</f>
        <v>10935550.08</v>
      </c>
      <c r="G52" s="386">
        <f>'P&amp;L - 5 year'!BP65</f>
        <v>11372972.0832</v>
      </c>
      <c r="H52" s="453">
        <f>C52+D52+E52+F52+G52</f>
        <v>38909357.496533334</v>
      </c>
    </row>
    <row r="53" spans="1:8" ht="13.5" customHeight="1">
      <c r="A53" s="448"/>
      <c r="B53" s="388" t="s">
        <v>89</v>
      </c>
      <c r="C53" s="386">
        <f>'P&amp;L - 5 year'!P66</f>
        <v>212249.99999999997</v>
      </c>
      <c r="D53" s="386">
        <f>'P&amp;L - 5 year'!AC66</f>
        <v>401338.33333333337</v>
      </c>
      <c r="E53" s="386">
        <f>'P&amp;L - 5 year'!AP66</f>
        <v>1046495.2000000007</v>
      </c>
      <c r="F53" s="386">
        <f>'P&amp;L - 5 year'!BC66</f>
        <v>1093555.0080000001</v>
      </c>
      <c r="G53" s="386">
        <f>'P&amp;L - 5 year'!BP66</f>
        <v>1137297.2083200004</v>
      </c>
      <c r="H53" s="453">
        <f>C53+D53+E53+F53+G53</f>
        <v>3890935.7496533347</v>
      </c>
    </row>
    <row r="54" spans="1:8" ht="13.5" customHeight="1">
      <c r="A54" s="448"/>
      <c r="B54" s="388" t="s">
        <v>90</v>
      </c>
      <c r="C54" s="386">
        <f>'P&amp;L - 5 year'!P67</f>
        <v>155575.00000000003</v>
      </c>
      <c r="D54" s="386">
        <f>'P&amp;L - 5 year'!AC67</f>
        <v>280936.83333333337</v>
      </c>
      <c r="E54" s="386">
        <f>'P&amp;L - 5 year'!AP67</f>
        <v>732546.64000000013</v>
      </c>
      <c r="F54" s="386">
        <f>'P&amp;L - 5 year'!BC67</f>
        <v>765488.50560000015</v>
      </c>
      <c r="G54" s="386">
        <f>'P&amp;L - 5 year'!BP67</f>
        <v>796108.0458240005</v>
      </c>
      <c r="H54" s="453">
        <f>C54+D54+E54+F54+G54</f>
        <v>2730655.0247573345</v>
      </c>
    </row>
    <row r="55" spans="1:8" ht="13.5" customHeight="1">
      <c r="A55" s="460"/>
      <c r="B55" s="381" t="s">
        <v>91</v>
      </c>
      <c r="C55" s="386">
        <f>'P&amp;L - 5 year'!P68</f>
        <v>637392.66666666663</v>
      </c>
      <c r="D55" s="386">
        <f>'P&amp;L - 5 year'!AC68</f>
        <v>332880.00000000006</v>
      </c>
      <c r="E55" s="386">
        <f>'P&amp;L - 5 year'!AP68</f>
        <v>126547.20000000003</v>
      </c>
      <c r="F55" s="386">
        <f>'P&amp;L - 5 year'!BC68</f>
        <v>131609.08799999999</v>
      </c>
      <c r="G55" s="386">
        <f>'P&amp;L - 5 year'!BP68</f>
        <v>136873.45152</v>
      </c>
      <c r="H55" s="453">
        <f>C55+D55+E55+F55+G55</f>
        <v>1365302.4061866668</v>
      </c>
    </row>
    <row r="56" spans="1:8" ht="13.5" customHeight="1">
      <c r="A56" s="461"/>
      <c r="B56" s="382" t="s">
        <v>92</v>
      </c>
      <c r="C56" s="356">
        <f t="shared" ref="C56:H56" si="21">SUM(C52:C55)</f>
        <v>3127717.666666667</v>
      </c>
      <c r="D56" s="356">
        <f t="shared" si="21"/>
        <v>5028538.5</v>
      </c>
      <c r="E56" s="356">
        <f t="shared" si="21"/>
        <v>12370541.040000003</v>
      </c>
      <c r="F56" s="356">
        <f t="shared" si="21"/>
        <v>12926202.681599999</v>
      </c>
      <c r="G56" s="356">
        <f t="shared" si="21"/>
        <v>13443250.788864002</v>
      </c>
      <c r="H56" s="462">
        <f t="shared" si="21"/>
        <v>46896250.677130669</v>
      </c>
    </row>
    <row r="57" spans="1:8" ht="13.5" customHeight="1">
      <c r="A57" s="448"/>
      <c r="B57" s="449"/>
      <c r="C57" s="357"/>
      <c r="D57" s="357"/>
      <c r="E57" s="357"/>
      <c r="F57" s="358"/>
      <c r="G57" s="358"/>
      <c r="H57" s="456"/>
    </row>
    <row r="58" spans="1:8" ht="13.5" customHeight="1">
      <c r="A58" s="464" t="s">
        <v>93</v>
      </c>
      <c r="B58" s="380"/>
      <c r="C58" s="350"/>
      <c r="D58" s="350"/>
      <c r="E58" s="350"/>
      <c r="F58" s="352"/>
      <c r="G58" s="352"/>
      <c r="H58" s="459"/>
    </row>
    <row r="59" spans="1:8" ht="13.5" customHeight="1">
      <c r="A59" s="465"/>
      <c r="B59" s="389" t="s">
        <v>95</v>
      </c>
      <c r="C59" s="386">
        <f>'P&amp;L - 5 year'!P72</f>
        <v>0</v>
      </c>
      <c r="D59" s="386">
        <f>'P&amp;L - 5 year'!AC72</f>
        <v>0</v>
      </c>
      <c r="E59" s="386">
        <f>'P&amp;L - 5 year'!AP72</f>
        <v>0</v>
      </c>
      <c r="F59" s="386">
        <f>'P&amp;L - 5 year'!BC72</f>
        <v>0</v>
      </c>
      <c r="G59" s="386">
        <f>'P&amp;L - 5 year'!BP72</f>
        <v>0</v>
      </c>
      <c r="H59" s="453">
        <f t="shared" ref="H59:H62" si="22">C59+D59+E59+F59+G59</f>
        <v>0</v>
      </c>
    </row>
    <row r="60" spans="1:8" ht="13.5" customHeight="1">
      <c r="A60" s="465"/>
      <c r="B60" s="389" t="s">
        <v>97</v>
      </c>
      <c r="C60" s="386">
        <f>'P&amp;L - 5 year'!P73</f>
        <v>20238.659191462237</v>
      </c>
      <c r="D60" s="386">
        <f>'P&amp;L - 5 year'!AC73</f>
        <v>27776.069394012597</v>
      </c>
      <c r="E60" s="386">
        <f>'P&amp;L - 5 year'!AP73</f>
        <v>39602.033332308434</v>
      </c>
      <c r="F60" s="386">
        <f>'P&amp;L - 5 year'!BC73</f>
        <v>56463.030164784024</v>
      </c>
      <c r="G60" s="386">
        <f>'P&amp;L - 5 year'!BP73</f>
        <v>80502.779961765031</v>
      </c>
      <c r="H60" s="453">
        <f t="shared" si="22"/>
        <v>224582.57204433234</v>
      </c>
    </row>
    <row r="61" spans="1:8" ht="13.5" customHeight="1">
      <c r="A61" s="465"/>
      <c r="B61" s="389" t="s">
        <v>98</v>
      </c>
      <c r="C61" s="386">
        <f>'P&amp;L - 5 year'!P74</f>
        <v>0</v>
      </c>
      <c r="D61" s="386">
        <f>'P&amp;L - 5 year'!AC74</f>
        <v>0</v>
      </c>
      <c r="E61" s="386">
        <f>'P&amp;L - 5 year'!AP74</f>
        <v>0</v>
      </c>
      <c r="F61" s="386">
        <f>'P&amp;L - 5 year'!BC74</f>
        <v>0</v>
      </c>
      <c r="G61" s="386">
        <f>'P&amp;L - 5 year'!BP74</f>
        <v>0</v>
      </c>
      <c r="H61" s="453">
        <f t="shared" si="22"/>
        <v>0</v>
      </c>
    </row>
    <row r="62" spans="1:8" ht="13.5" customHeight="1">
      <c r="A62" s="466"/>
      <c r="B62" s="384" t="s">
        <v>101</v>
      </c>
      <c r="C62" s="386">
        <f>'P&amp;L - 5 year'!P75</f>
        <v>10000</v>
      </c>
      <c r="D62" s="386">
        <f>'P&amp;L - 5 year'!AC75</f>
        <v>146177.90448385477</v>
      </c>
      <c r="E62" s="386">
        <f>'P&amp;L - 5 year'!AP75</f>
        <v>208414.73873421692</v>
      </c>
      <c r="F62" s="386">
        <f>'P&amp;L - 5 year'!BC75</f>
        <v>297149.58272951201</v>
      </c>
      <c r="G62" s="386">
        <f>'P&amp;L - 5 year'!BP75</f>
        <v>423664.25259840116</v>
      </c>
      <c r="H62" s="453">
        <f t="shared" si="22"/>
        <v>1085406.4785459847</v>
      </c>
    </row>
    <row r="63" spans="1:8" ht="13.5" customHeight="1">
      <c r="A63" s="475"/>
      <c r="B63" s="382" t="s">
        <v>102</v>
      </c>
      <c r="C63" s="364">
        <f t="shared" ref="C63:H63" si="23">SUM(C59:C62)</f>
        <v>30238.659191462237</v>
      </c>
      <c r="D63" s="364">
        <f t="shared" si="23"/>
        <v>173953.97387786736</v>
      </c>
      <c r="E63" s="364">
        <f t="shared" si="23"/>
        <v>248016.77206652536</v>
      </c>
      <c r="F63" s="356">
        <f t="shared" si="23"/>
        <v>353612.61289429606</v>
      </c>
      <c r="G63" s="356">
        <f t="shared" si="23"/>
        <v>504167.0325601662</v>
      </c>
      <c r="H63" s="462">
        <f t="shared" si="23"/>
        <v>1309989.050590317</v>
      </c>
    </row>
    <row r="64" spans="1:8" ht="13.5" customHeight="1">
      <c r="A64" s="448"/>
      <c r="B64" s="449"/>
      <c r="C64" s="357"/>
      <c r="D64" s="357"/>
      <c r="E64" s="357"/>
      <c r="F64" s="358"/>
      <c r="G64" s="358"/>
      <c r="H64" s="456"/>
    </row>
    <row r="65" spans="1:8" ht="13" customHeight="1">
      <c r="A65" s="464" t="s">
        <v>103</v>
      </c>
      <c r="B65" s="380"/>
      <c r="C65" s="350"/>
      <c r="D65" s="350"/>
      <c r="E65" s="350"/>
      <c r="F65" s="352"/>
      <c r="G65" s="352"/>
      <c r="H65" s="459"/>
    </row>
    <row r="66" spans="1:8" ht="13.5" customHeight="1">
      <c r="A66" s="465"/>
      <c r="B66" s="389" t="s">
        <v>104</v>
      </c>
      <c r="C66" s="386">
        <f>'P&amp;L - 5 year'!P79</f>
        <v>39400</v>
      </c>
      <c r="D66" s="386">
        <f>'P&amp;L - 5 year'!AC79</f>
        <v>60000</v>
      </c>
      <c r="E66" s="386">
        <f>'P&amp;L - 5 year'!AP79</f>
        <v>120000</v>
      </c>
      <c r="F66" s="386">
        <f>'P&amp;L - 5 year'!BC79</f>
        <v>180000</v>
      </c>
      <c r="G66" s="386">
        <f>'P&amp;L - 5 year'!BP79</f>
        <v>240000</v>
      </c>
      <c r="H66" s="453">
        <f t="shared" ref="H66:H73" si="24">C66+D66+E66+F66+G66</f>
        <v>639400</v>
      </c>
    </row>
    <row r="67" spans="1:8" ht="13.5" customHeight="1">
      <c r="A67" s="465"/>
      <c r="B67" s="389" t="s">
        <v>105</v>
      </c>
      <c r="C67" s="386">
        <f>'P&amp;L - 5 year'!P80</f>
        <v>0</v>
      </c>
      <c r="D67" s="386">
        <f>'P&amp;L - 5 year'!AC80</f>
        <v>120000</v>
      </c>
      <c r="E67" s="386">
        <f>'P&amp;L - 5 year'!AP80</f>
        <v>180000</v>
      </c>
      <c r="F67" s="386">
        <f>'P&amp;L - 5 year'!BC80</f>
        <v>240000</v>
      </c>
      <c r="G67" s="386">
        <f>'P&amp;L - 5 year'!BP80</f>
        <v>420000</v>
      </c>
      <c r="H67" s="453">
        <f t="shared" si="24"/>
        <v>960000</v>
      </c>
    </row>
    <row r="68" spans="1:8" ht="13.5" customHeight="1">
      <c r="A68" s="465"/>
      <c r="B68" s="389" t="s">
        <v>106</v>
      </c>
      <c r="C68" s="386">
        <f>'P&amp;L - 5 year'!P81</f>
        <v>0</v>
      </c>
      <c r="D68" s="386">
        <f>'P&amp;L - 5 year'!AC81</f>
        <v>0</v>
      </c>
      <c r="E68" s="386">
        <f>'P&amp;L - 5 year'!AP81</f>
        <v>0</v>
      </c>
      <c r="F68" s="386">
        <f>'P&amp;L - 5 year'!BC81</f>
        <v>0</v>
      </c>
      <c r="G68" s="386">
        <f>'P&amp;L - 5 year'!BP81</f>
        <v>0</v>
      </c>
      <c r="H68" s="453">
        <f t="shared" si="24"/>
        <v>0</v>
      </c>
    </row>
    <row r="69" spans="1:8" ht="13.5" customHeight="1">
      <c r="A69" s="467"/>
      <c r="B69" s="389" t="s">
        <v>107</v>
      </c>
      <c r="C69" s="386">
        <f>'P&amp;L - 5 year'!P82</f>
        <v>15387.431925492201</v>
      </c>
      <c r="D69" s="386">
        <f>'P&amp;L - 5 year'!AC82</f>
        <v>31417.931259133864</v>
      </c>
      <c r="E69" s="386">
        <f>'P&amp;L - 5 year'!AP82</f>
        <v>44794.457534894987</v>
      </c>
      <c r="F69" s="386">
        <f>'P&amp;L - 5 year'!BC82</f>
        <v>63866.185500745407</v>
      </c>
      <c r="G69" s="386">
        <f>'P&amp;L - 5 year'!BP82</f>
        <v>91057.909279025393</v>
      </c>
      <c r="H69" s="453">
        <f t="shared" si="24"/>
        <v>246523.91549929185</v>
      </c>
    </row>
    <row r="70" spans="1:8" ht="13.5" customHeight="1">
      <c r="A70" s="467"/>
      <c r="B70" s="389" t="s">
        <v>108</v>
      </c>
      <c r="C70" s="386">
        <f>'P&amp;L - 5 year'!P83</f>
        <v>55970.049421500007</v>
      </c>
      <c r="D70" s="386">
        <f>'P&amp;L - 5 year'!AC83</f>
        <v>84730.127451817301</v>
      </c>
      <c r="E70" s="386">
        <f>'P&amp;L - 5 year'!AP83</f>
        <v>120804.90165829289</v>
      </c>
      <c r="F70" s="386">
        <f>'P&amp;L - 5 year'!BC83</f>
        <v>172238.90372369316</v>
      </c>
      <c r="G70" s="386">
        <f>'P&amp;L - 5 year'!BP83</f>
        <v>245571.49212250646</v>
      </c>
      <c r="H70" s="453">
        <f t="shared" si="24"/>
        <v>679315.47437780979</v>
      </c>
    </row>
    <row r="71" spans="1:8" ht="13.5" customHeight="1">
      <c r="A71" s="467"/>
      <c r="B71" s="389" t="s">
        <v>109</v>
      </c>
      <c r="C71" s="386">
        <f>'P&amp;L - 5 year'!P84</f>
        <v>29500</v>
      </c>
      <c r="D71" s="386">
        <f>'P&amp;L - 5 year'!AC84</f>
        <v>30000</v>
      </c>
      <c r="E71" s="386">
        <f>'P&amp;L - 5 year'!AP84</f>
        <v>60000</v>
      </c>
      <c r="F71" s="386">
        <f>'P&amp;L - 5 year'!BC84</f>
        <v>120000</v>
      </c>
      <c r="G71" s="386">
        <f>'P&amp;L - 5 year'!BP84</f>
        <v>180000</v>
      </c>
      <c r="H71" s="453">
        <f t="shared" si="24"/>
        <v>419500</v>
      </c>
    </row>
    <row r="72" spans="1:8" ht="13.5" customHeight="1">
      <c r="A72" s="467"/>
      <c r="B72" s="389" t="s">
        <v>110</v>
      </c>
      <c r="C72" s="386">
        <f>'P&amp;L - 5 year'!P85</f>
        <v>90140</v>
      </c>
      <c r="D72" s="386">
        <f>'P&amp;L - 5 year'!AC85</f>
        <v>96000</v>
      </c>
      <c r="E72" s="386">
        <f>'P&amp;L - 5 year'!AP85</f>
        <v>60000</v>
      </c>
      <c r="F72" s="386">
        <f>'P&amp;L - 5 year'!BC85</f>
        <v>120000</v>
      </c>
      <c r="G72" s="386">
        <f>'P&amp;L - 5 year'!BP85</f>
        <v>180000</v>
      </c>
      <c r="H72" s="453">
        <f t="shared" si="24"/>
        <v>546140</v>
      </c>
    </row>
    <row r="73" spans="1:8" ht="13.5" customHeight="1">
      <c r="A73" s="466"/>
      <c r="B73" s="384" t="s">
        <v>111</v>
      </c>
      <c r="C73" s="386">
        <f>'P&amp;L - 5 year'!P86</f>
        <v>23875.689780663877</v>
      </c>
      <c r="D73" s="386">
        <f>'P&amp;L - 5 year'!AC86</f>
        <v>42877.308530747148</v>
      </c>
      <c r="E73" s="386">
        <f>'P&amp;L - 5 year'!AP86</f>
        <v>77001.485767744933</v>
      </c>
      <c r="F73" s="386">
        <f>'P&amp;L - 5 year'!BC86</f>
        <v>138283.60532910773</v>
      </c>
      <c r="G73" s="386">
        <f>'P&amp;L - 5 year'!BP86</f>
        <v>248337.48741542565</v>
      </c>
      <c r="H73" s="453">
        <f t="shared" si="24"/>
        <v>530375.57682368928</v>
      </c>
    </row>
    <row r="74" spans="1:8" ht="13.5" customHeight="1">
      <c r="A74" s="460"/>
      <c r="B74" s="382" t="s">
        <v>112</v>
      </c>
      <c r="C74" s="356">
        <f>SUM(C66:C73)</f>
        <v>254273.17112765607</v>
      </c>
      <c r="D74" s="356">
        <f>SUM(D66:D73)</f>
        <v>465025.36724169826</v>
      </c>
      <c r="E74" s="356">
        <f>SUM(E66:E73)</f>
        <v>662600.84496093285</v>
      </c>
      <c r="F74" s="356">
        <f>SUM(F66:F73)</f>
        <v>1034388.6945535464</v>
      </c>
      <c r="G74" s="356">
        <f t="shared" ref="G74:H74" si="25">SUM(G66:G73)</f>
        <v>1604966.8888169576</v>
      </c>
      <c r="H74" s="462">
        <f t="shared" si="25"/>
        <v>4021254.9667007904</v>
      </c>
    </row>
    <row r="75" spans="1:8" ht="13.5" customHeight="1">
      <c r="A75" s="448"/>
      <c r="B75" s="449"/>
      <c r="C75" s="357"/>
      <c r="D75" s="357"/>
      <c r="E75" s="357"/>
      <c r="F75" s="358"/>
      <c r="G75" s="358"/>
      <c r="H75" s="456"/>
    </row>
    <row r="76" spans="1:8" ht="13.5" customHeight="1">
      <c r="A76" s="464" t="s">
        <v>113</v>
      </c>
      <c r="B76" s="380"/>
      <c r="C76" s="350"/>
      <c r="D76" s="350"/>
      <c r="E76" s="350"/>
      <c r="F76" s="352"/>
      <c r="G76" s="352"/>
      <c r="H76" s="459"/>
    </row>
    <row r="77" spans="1:8" ht="13.5" customHeight="1">
      <c r="A77" s="465"/>
      <c r="B77" s="389" t="s">
        <v>114</v>
      </c>
      <c r="C77" s="386">
        <f>'P&amp;L - 5 year'!P90</f>
        <v>60000</v>
      </c>
      <c r="D77" s="386">
        <f>'P&amp;L - 5 year'!AC90</f>
        <v>120000</v>
      </c>
      <c r="E77" s="386">
        <f>'P&amp;L - 5 year'!AP90</f>
        <v>180000</v>
      </c>
      <c r="F77" s="386">
        <f>'P&amp;L - 5 year'!BC90</f>
        <v>240000</v>
      </c>
      <c r="G77" s="386">
        <f>'P&amp;L - 5 year'!BP90</f>
        <v>240000</v>
      </c>
      <c r="H77" s="453">
        <f>C77+D77+E77+F77+G77</f>
        <v>840000</v>
      </c>
    </row>
    <row r="78" spans="1:8" ht="13.5" customHeight="1">
      <c r="A78" s="465"/>
      <c r="B78" s="389" t="s">
        <v>115</v>
      </c>
      <c r="C78" s="386">
        <f>'P&amp;L - 5 year'!P91</f>
        <v>0</v>
      </c>
      <c r="D78" s="386">
        <f>'P&amp;L - 5 year'!AC91</f>
        <v>48000</v>
      </c>
      <c r="E78" s="386">
        <f>'P&amp;L - 5 year'!AP91</f>
        <v>78000</v>
      </c>
      <c r="F78" s="386">
        <f>'P&amp;L - 5 year'!BC91</f>
        <v>120000</v>
      </c>
      <c r="G78" s="386">
        <f>'P&amp;L - 5 year'!BP91</f>
        <v>120000</v>
      </c>
      <c r="H78" s="453">
        <f>C78+D78+E78+F78+G78</f>
        <v>366000</v>
      </c>
    </row>
    <row r="79" spans="1:8" ht="13.5" customHeight="1">
      <c r="A79" s="465"/>
      <c r="B79" s="384" t="s">
        <v>116</v>
      </c>
      <c r="C79" s="386">
        <f>'P&amp;L - 5 year'!P92</f>
        <v>42000</v>
      </c>
      <c r="D79" s="386">
        <f>'P&amp;L - 5 year'!AC92</f>
        <v>180000</v>
      </c>
      <c r="E79" s="386">
        <f>'P&amp;L - 5 year'!AP92</f>
        <v>240000</v>
      </c>
      <c r="F79" s="386">
        <f>'P&amp;L - 5 year'!BC92</f>
        <v>300000</v>
      </c>
      <c r="G79" s="386">
        <f>'P&amp;L - 5 year'!BP92</f>
        <v>360000</v>
      </c>
      <c r="H79" s="453">
        <f>C79+D79+E79+F79+G79</f>
        <v>1122000</v>
      </c>
    </row>
    <row r="80" spans="1:8" ht="13.5" customHeight="1">
      <c r="A80" s="454"/>
      <c r="B80" s="382" t="s">
        <v>117</v>
      </c>
      <c r="C80" s="356">
        <f t="shared" ref="C80:H80" si="26">SUM(C77:C79)</f>
        <v>102000</v>
      </c>
      <c r="D80" s="356">
        <f t="shared" si="26"/>
        <v>348000</v>
      </c>
      <c r="E80" s="356">
        <f t="shared" si="26"/>
        <v>498000</v>
      </c>
      <c r="F80" s="356">
        <f t="shared" si="26"/>
        <v>660000</v>
      </c>
      <c r="G80" s="356">
        <f t="shared" si="26"/>
        <v>720000</v>
      </c>
      <c r="H80" s="462">
        <f t="shared" si="26"/>
        <v>2328000</v>
      </c>
    </row>
    <row r="81" spans="1:8" ht="13.5" customHeight="1">
      <c r="A81" s="454"/>
      <c r="B81" s="382"/>
      <c r="C81" s="356"/>
      <c r="D81" s="356"/>
      <c r="E81" s="356"/>
      <c r="F81" s="356"/>
      <c r="G81" s="356"/>
      <c r="H81" s="468"/>
    </row>
    <row r="82" spans="1:8" ht="13.5" customHeight="1">
      <c r="A82" s="469" t="s">
        <v>716</v>
      </c>
      <c r="B82" s="380"/>
      <c r="C82" s="350"/>
      <c r="D82" s="350"/>
      <c r="E82" s="350"/>
      <c r="F82" s="352"/>
      <c r="G82" s="352"/>
      <c r="H82" s="459"/>
    </row>
    <row r="83" spans="1:8" ht="13.5" customHeight="1">
      <c r="A83" s="448"/>
      <c r="B83" s="388" t="s">
        <v>717</v>
      </c>
      <c r="C83" s="386">
        <f>'P&amp;L - 5 year'!P97</f>
        <v>87480.76890000001</v>
      </c>
      <c r="D83" s="386">
        <f>'P&amp;L - 5 year'!AC97</f>
        <v>1514697.9585093153</v>
      </c>
      <c r="E83" s="386">
        <f>'P&amp;L - 5 year'!AP97</f>
        <v>297821.27259068447</v>
      </c>
      <c r="F83" s="386">
        <f>'P&amp;L - 5 year'!BC97</f>
        <v>0</v>
      </c>
      <c r="G83" s="386">
        <f>'P&amp;L - 5 year'!BP97</f>
        <v>0</v>
      </c>
      <c r="H83" s="453">
        <f>C83+D83+E83+F83+G83</f>
        <v>1899999.9999999998</v>
      </c>
    </row>
    <row r="84" spans="1:8" ht="13.5" customHeight="1">
      <c r="A84" s="460"/>
      <c r="B84" s="207" t="s">
        <v>725</v>
      </c>
      <c r="C84" s="386">
        <f>'P&amp;L - 5 year'!P98</f>
        <v>0</v>
      </c>
      <c r="D84" s="386">
        <f>'P&amp;L - 5 year'!AC98</f>
        <v>0</v>
      </c>
      <c r="E84" s="386">
        <f>'P&amp;L - 5 year'!AP98</f>
        <v>0</v>
      </c>
      <c r="F84" s="386">
        <f>'P&amp;L - 5 year'!BC98</f>
        <v>0</v>
      </c>
      <c r="G84" s="386">
        <f>'P&amp;L - 5 year'!BP98</f>
        <v>0</v>
      </c>
      <c r="H84" s="453">
        <f>C84+D84+E84+F84+G84</f>
        <v>0</v>
      </c>
    </row>
    <row r="85" spans="1:8" ht="13.5" customHeight="1">
      <c r="A85" s="461"/>
      <c r="B85" s="209" t="s">
        <v>721</v>
      </c>
      <c r="C85" s="356">
        <f t="shared" ref="C85:H85" si="27">SUM(C83:C84)</f>
        <v>87480.76890000001</v>
      </c>
      <c r="D85" s="356">
        <f t="shared" si="27"/>
        <v>1514697.9585093153</v>
      </c>
      <c r="E85" s="356">
        <f t="shared" si="27"/>
        <v>297821.27259068447</v>
      </c>
      <c r="F85" s="356">
        <f t="shared" si="27"/>
        <v>0</v>
      </c>
      <c r="G85" s="356">
        <f t="shared" si="27"/>
        <v>0</v>
      </c>
      <c r="H85" s="462">
        <f t="shared" si="27"/>
        <v>1899999.9999999998</v>
      </c>
    </row>
    <row r="86" spans="1:8" ht="13.5" customHeight="1">
      <c r="A86" s="448"/>
      <c r="B86" s="449"/>
      <c r="C86" s="357"/>
      <c r="D86" s="357"/>
      <c r="E86" s="357"/>
      <c r="F86" s="358"/>
      <c r="G86" s="358"/>
      <c r="H86" s="456"/>
    </row>
    <row r="87" spans="1:8" ht="13.5" hidden="1" customHeight="1">
      <c r="A87" s="470"/>
      <c r="B87" s="390" t="s">
        <v>118</v>
      </c>
      <c r="C87" s="368">
        <f t="shared" ref="C87:H87" si="28">C56+C63+C74+C80+C85</f>
        <v>3601710.2658857852</v>
      </c>
      <c r="D87" s="368">
        <f t="shared" si="28"/>
        <v>7530215.7996288817</v>
      </c>
      <c r="E87" s="368">
        <f t="shared" si="28"/>
        <v>14076979.929618146</v>
      </c>
      <c r="F87" s="368">
        <f t="shared" si="28"/>
        <v>14974203.989047842</v>
      </c>
      <c r="G87" s="471">
        <f t="shared" si="28"/>
        <v>16272384.710241126</v>
      </c>
      <c r="H87" s="472">
        <f t="shared" si="28"/>
        <v>56455494.694421776</v>
      </c>
    </row>
    <row r="88" spans="1:8" ht="13.5" customHeight="1"/>
    <row r="89" spans="1:8" ht="13.5" customHeight="1">
      <c r="B89" s="473" t="s">
        <v>119</v>
      </c>
      <c r="C89" s="473">
        <f t="shared" ref="C89:H89" si="29">C48-C87</f>
        <v>-3199150.8388857851</v>
      </c>
      <c r="D89" s="473">
        <f t="shared" si="29"/>
        <v>7279947.4840262849</v>
      </c>
      <c r="E89" s="473">
        <f t="shared" si="29"/>
        <v>2826429.2213577777</v>
      </c>
      <c r="F89" s="473">
        <f t="shared" si="29"/>
        <v>27609021.920144536</v>
      </c>
      <c r="G89" s="473">
        <f t="shared" si="29"/>
        <v>57043108.233074814</v>
      </c>
      <c r="H89" s="474">
        <f t="shared" si="29"/>
        <v>91559356.019717634</v>
      </c>
    </row>
    <row r="90" spans="1:8" ht="13.5" customHeight="1"/>
    <row r="91" spans="1:8" ht="13.5" customHeight="1"/>
    <row r="92" spans="1:8" ht="13.5" customHeight="1"/>
    <row r="93" spans="1:8" ht="13.5" customHeight="1"/>
    <row r="94" spans="1:8" ht="13.5" customHeight="1"/>
    <row r="95" spans="1:8" ht="13.5" customHeight="1"/>
  </sheetData>
  <mergeCells count="3">
    <mergeCell ref="A1:B1"/>
    <mergeCell ref="A2:H2"/>
    <mergeCell ref="J2:Q2"/>
  </mergeCells>
  <pageMargins left="0.25" right="0.25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6"/>
  <sheetViews>
    <sheetView workbookViewId="0">
      <selection activeCell="H23" sqref="H23"/>
    </sheetView>
  </sheetViews>
  <sheetFormatPr baseColWidth="10" defaultColWidth="12.5" defaultRowHeight="15" customHeight="1"/>
  <cols>
    <col min="1" max="1" width="11.6640625" customWidth="1"/>
    <col min="2" max="2" width="12.5" customWidth="1"/>
    <col min="3" max="3" width="13.5" bestFit="1" customWidth="1"/>
    <col min="4" max="4" width="14.5" hidden="1" customWidth="1"/>
    <col min="5" max="5" width="15" hidden="1" customWidth="1"/>
    <col min="6" max="6" width="16" bestFit="1" customWidth="1"/>
    <col min="7" max="7" width="16" customWidth="1"/>
    <col min="8" max="8" width="16" bestFit="1" customWidth="1"/>
    <col min="9" max="9" width="3" customWidth="1"/>
    <col min="10" max="10" width="35.5" bestFit="1" customWidth="1"/>
    <col min="11" max="26" width="10" customWidth="1"/>
  </cols>
  <sheetData>
    <row r="1" spans="1:10">
      <c r="A1" s="26" t="s">
        <v>301</v>
      </c>
      <c r="C1" s="16"/>
      <c r="D1" s="16"/>
      <c r="E1" s="16"/>
      <c r="F1" s="16"/>
      <c r="G1" s="16"/>
      <c r="H1" s="16"/>
      <c r="I1" s="16"/>
    </row>
    <row r="2" spans="1:10">
      <c r="A2" s="135"/>
      <c r="B2" s="16"/>
      <c r="C2" s="16"/>
      <c r="D2" s="16"/>
      <c r="E2" s="16"/>
      <c r="F2" s="16"/>
      <c r="G2" s="16"/>
      <c r="H2" s="16"/>
      <c r="I2" s="16"/>
    </row>
    <row r="3" spans="1:10">
      <c r="A3" s="136"/>
      <c r="B3" s="137"/>
      <c r="C3" s="16"/>
      <c r="D3" s="16"/>
      <c r="E3" s="16"/>
      <c r="F3" s="16"/>
      <c r="G3" s="16"/>
      <c r="H3" s="16"/>
      <c r="I3" s="16"/>
    </row>
    <row r="4" spans="1:10">
      <c r="A4" s="1045" t="s">
        <v>302</v>
      </c>
      <c r="B4" s="1046" t="s">
        <v>303</v>
      </c>
      <c r="C4" s="1046" t="s">
        <v>304</v>
      </c>
      <c r="D4" s="1047"/>
      <c r="E4" s="1047"/>
      <c r="F4" s="1046" t="s">
        <v>305</v>
      </c>
      <c r="G4" s="1046" t="s">
        <v>1019</v>
      </c>
      <c r="H4" s="1046" t="s">
        <v>306</v>
      </c>
      <c r="I4" s="16"/>
      <c r="J4" s="1044" t="s">
        <v>255</v>
      </c>
    </row>
    <row r="5" spans="1:10">
      <c r="A5" s="138" t="s">
        <v>307</v>
      </c>
      <c r="B5" s="139"/>
      <c r="C5" s="139"/>
      <c r="D5" s="140"/>
      <c r="E5" s="140"/>
      <c r="F5" s="139"/>
      <c r="G5" s="1038">
        <v>2090000</v>
      </c>
      <c r="H5" s="141">
        <f>G5</f>
        <v>2090000</v>
      </c>
      <c r="I5" s="16"/>
    </row>
    <row r="6" spans="1:10">
      <c r="A6" s="142" t="s">
        <v>49</v>
      </c>
      <c r="B6" s="434">
        <f>'P&amp;L - 5 year'!D166</f>
        <v>0</v>
      </c>
      <c r="C6" s="434">
        <f>'P&amp;L - 5 year'!E166</f>
        <v>-230440.83333333331</v>
      </c>
      <c r="D6" s="435">
        <f t="shared" ref="D6:E6" si="0">B6+D4</f>
        <v>0</v>
      </c>
      <c r="E6" s="435">
        <f t="shared" si="0"/>
        <v>-230440.83333333331</v>
      </c>
      <c r="F6" s="434">
        <f>D6+E6</f>
        <v>-230440.83333333331</v>
      </c>
      <c r="G6" s="1039"/>
      <c r="H6" s="434">
        <f>H5+B6+C6+G6</f>
        <v>1859559.1666666667</v>
      </c>
      <c r="I6" s="16"/>
    </row>
    <row r="7" spans="1:10">
      <c r="A7" s="144" t="s">
        <v>50</v>
      </c>
      <c r="B7" s="434">
        <f>'P&amp;L - 5 year'!D167</f>
        <v>0</v>
      </c>
      <c r="C7" s="434">
        <f>'P&amp;L - 5 year'!E167</f>
        <v>-262891.66666666669</v>
      </c>
      <c r="D7" s="435">
        <f t="shared" ref="D7:D65" si="1">B7+D6</f>
        <v>0</v>
      </c>
      <c r="E7" s="435">
        <f t="shared" ref="E7:E65" si="2">E6+C7</f>
        <v>-493332.5</v>
      </c>
      <c r="F7" s="434">
        <f t="shared" ref="F7:F65" si="3">D7+E7</f>
        <v>-493332.5</v>
      </c>
      <c r="G7" s="1039"/>
      <c r="H7" s="434">
        <f t="shared" ref="H7:H65" si="4">H6+B7+C7+G7</f>
        <v>1596667.5</v>
      </c>
      <c r="I7" s="16"/>
    </row>
    <row r="8" spans="1:10">
      <c r="A8" s="144" t="s">
        <v>51</v>
      </c>
      <c r="B8" s="434">
        <f>'P&amp;L - 5 year'!D168</f>
        <v>0</v>
      </c>
      <c r="C8" s="434">
        <f>'P&amp;L - 5 year'!E168</f>
        <v>-282181.41666666663</v>
      </c>
      <c r="D8" s="435">
        <f t="shared" si="1"/>
        <v>0</v>
      </c>
      <c r="E8" s="435">
        <f t="shared" si="2"/>
        <v>-775513.91666666663</v>
      </c>
      <c r="F8" s="434">
        <f t="shared" si="3"/>
        <v>-775513.91666666663</v>
      </c>
      <c r="G8" s="1039"/>
      <c r="H8" s="434">
        <f t="shared" si="4"/>
        <v>1314486.0833333335</v>
      </c>
      <c r="I8" s="16"/>
    </row>
    <row r="9" spans="1:10">
      <c r="A9" s="144" t="s">
        <v>52</v>
      </c>
      <c r="B9" s="434">
        <f>'P&amp;L - 5 year'!D169</f>
        <v>0</v>
      </c>
      <c r="C9" s="434">
        <f>'P&amp;L - 5 year'!E169</f>
        <v>-324693.60416666663</v>
      </c>
      <c r="D9" s="435">
        <f t="shared" si="1"/>
        <v>0</v>
      </c>
      <c r="E9" s="435">
        <f t="shared" si="2"/>
        <v>-1100207.5208333333</v>
      </c>
      <c r="F9" s="434">
        <f t="shared" si="3"/>
        <v>-1100207.5208333333</v>
      </c>
      <c r="G9" s="1039"/>
      <c r="H9" s="434">
        <f t="shared" si="4"/>
        <v>989792.47916666686</v>
      </c>
      <c r="I9" s="16"/>
    </row>
    <row r="10" spans="1:10">
      <c r="A10" s="144" t="s">
        <v>53</v>
      </c>
      <c r="B10" s="434">
        <f>'P&amp;L - 5 year'!D170</f>
        <v>0</v>
      </c>
      <c r="C10" s="434">
        <f>'P&amp;L - 5 year'!E170</f>
        <v>-322007.42604166665</v>
      </c>
      <c r="D10" s="435">
        <f t="shared" si="1"/>
        <v>0</v>
      </c>
      <c r="E10" s="435">
        <f t="shared" si="2"/>
        <v>-1422214.9468749999</v>
      </c>
      <c r="F10" s="434">
        <f t="shared" si="3"/>
        <v>-1422214.9468749999</v>
      </c>
      <c r="G10" s="1039"/>
      <c r="H10" s="434">
        <f t="shared" si="4"/>
        <v>667785.05312500021</v>
      </c>
      <c r="I10" s="16"/>
    </row>
    <row r="11" spans="1:10">
      <c r="A11" s="144" t="s">
        <v>54</v>
      </c>
      <c r="B11" s="434">
        <f>'P&amp;L - 5 year'!D171</f>
        <v>0</v>
      </c>
      <c r="C11" s="434">
        <f>'P&amp;L - 5 year'!E171</f>
        <v>-320079.93901041668</v>
      </c>
      <c r="D11" s="435">
        <f t="shared" si="1"/>
        <v>0</v>
      </c>
      <c r="E11" s="435">
        <f t="shared" si="2"/>
        <v>-1742294.8858854165</v>
      </c>
      <c r="F11" s="434">
        <f t="shared" si="3"/>
        <v>-1742294.8858854165</v>
      </c>
      <c r="G11" s="1039"/>
      <c r="H11" s="434">
        <f t="shared" si="4"/>
        <v>347705.11411458353</v>
      </c>
      <c r="I11" s="16"/>
    </row>
    <row r="12" spans="1:10">
      <c r="A12" s="144" t="s">
        <v>55</v>
      </c>
      <c r="B12" s="434">
        <f>'P&amp;L - 5 year'!D172</f>
        <v>0</v>
      </c>
      <c r="C12" s="434">
        <f>'P&amp;L - 5 year'!E172</f>
        <v>-337307.4006276041</v>
      </c>
      <c r="D12" s="435">
        <f t="shared" si="1"/>
        <v>0</v>
      </c>
      <c r="E12" s="435">
        <f t="shared" si="2"/>
        <v>-2079602.2865130208</v>
      </c>
      <c r="F12" s="434">
        <f t="shared" si="3"/>
        <v>-2079602.2865130208</v>
      </c>
      <c r="G12" s="1039">
        <v>290000</v>
      </c>
      <c r="H12" s="434">
        <f t="shared" si="4"/>
        <v>300397.71348697942</v>
      </c>
      <c r="I12" s="16"/>
    </row>
    <row r="13" spans="1:10">
      <c r="A13" s="144" t="s">
        <v>56</v>
      </c>
      <c r="B13" s="434">
        <f>'P&amp;L - 5 year'!D173</f>
        <v>0</v>
      </c>
      <c r="C13" s="434">
        <f>'P&amp;L - 5 year'!E173</f>
        <v>-309162.70051565103</v>
      </c>
      <c r="D13" s="435">
        <f t="shared" si="1"/>
        <v>0</v>
      </c>
      <c r="E13" s="435">
        <f t="shared" si="2"/>
        <v>-2388764.9870286719</v>
      </c>
      <c r="F13" s="434">
        <f t="shared" si="3"/>
        <v>-2388764.9870286719</v>
      </c>
      <c r="G13" s="1039">
        <v>260000</v>
      </c>
      <c r="H13" s="434">
        <f t="shared" si="4"/>
        <v>251235.0129713284</v>
      </c>
      <c r="I13" s="16"/>
    </row>
    <row r="14" spans="1:10">
      <c r="A14" s="144" t="s">
        <v>57</v>
      </c>
      <c r="B14" s="434">
        <f>'P&amp;L - 5 year'!D174</f>
        <v>0</v>
      </c>
      <c r="C14" s="434">
        <f>'P&amp;L - 5 year'!E174</f>
        <v>-194530.66954380029</v>
      </c>
      <c r="D14" s="435">
        <f t="shared" si="1"/>
        <v>0</v>
      </c>
      <c r="E14" s="435">
        <f t="shared" si="2"/>
        <v>-2583295.6565724723</v>
      </c>
      <c r="F14" s="434">
        <f t="shared" si="3"/>
        <v>-2583295.6565724723</v>
      </c>
      <c r="G14" s="1039"/>
      <c r="H14" s="434">
        <f t="shared" si="4"/>
        <v>56704.343427528103</v>
      </c>
      <c r="I14" s="16"/>
    </row>
    <row r="15" spans="1:10">
      <c r="A15" s="144" t="s">
        <v>58</v>
      </c>
      <c r="B15" s="1043">
        <f>'P&amp;L - 5 year'!D175</f>
        <v>0</v>
      </c>
      <c r="C15" s="434">
        <f>'P&amp;L - 5 year'!E175</f>
        <v>-304911.78829342802</v>
      </c>
      <c r="D15" s="435">
        <f t="shared" si="1"/>
        <v>0</v>
      </c>
      <c r="E15" s="435">
        <f t="shared" si="2"/>
        <v>-2888207.4448659001</v>
      </c>
      <c r="F15" s="434">
        <f t="shared" si="3"/>
        <v>-2888207.4448659001</v>
      </c>
      <c r="G15" s="1042">
        <v>1250000</v>
      </c>
      <c r="H15" s="434">
        <f t="shared" si="4"/>
        <v>1001792.5551341001</v>
      </c>
      <c r="I15" s="16"/>
      <c r="J15" t="s">
        <v>1021</v>
      </c>
    </row>
    <row r="16" spans="1:10">
      <c r="A16" s="144" t="s">
        <v>59</v>
      </c>
      <c r="B16" s="434">
        <f>'P&amp;L - 5 year'!D176</f>
        <v>0</v>
      </c>
      <c r="C16" s="434">
        <f>'P&amp;L - 5 year'!E176</f>
        <v>-1152472.3997887103</v>
      </c>
      <c r="D16" s="435">
        <f t="shared" si="1"/>
        <v>0</v>
      </c>
      <c r="E16" s="435">
        <f t="shared" si="2"/>
        <v>-4040679.8446546104</v>
      </c>
      <c r="F16" s="434">
        <f t="shared" si="3"/>
        <v>-4040679.8446546104</v>
      </c>
      <c r="G16" s="1042">
        <v>1250000</v>
      </c>
      <c r="H16" s="434">
        <f t="shared" si="4"/>
        <v>1099320.1553453899</v>
      </c>
      <c r="I16" s="143"/>
      <c r="J16" t="s">
        <v>1021</v>
      </c>
    </row>
    <row r="17" spans="1:8">
      <c r="A17" s="144" t="s">
        <v>60</v>
      </c>
      <c r="B17" s="434">
        <f>'P&amp;L - 5 year'!D177</f>
        <v>1479311.5</v>
      </c>
      <c r="C17" s="434">
        <f>'P&amp;L - 5 year'!E177</f>
        <v>-637782.4942311747</v>
      </c>
      <c r="D17" s="435">
        <f t="shared" si="1"/>
        <v>1479311.5</v>
      </c>
      <c r="E17" s="435">
        <f t="shared" si="2"/>
        <v>-4678462.3388857851</v>
      </c>
      <c r="F17" s="434">
        <f t="shared" si="3"/>
        <v>-3199150.8388857851</v>
      </c>
      <c r="G17" s="1039"/>
      <c r="H17" s="434">
        <f t="shared" si="4"/>
        <v>1940849.1611142149</v>
      </c>
    </row>
    <row r="18" spans="1:8">
      <c r="A18" s="144" t="s">
        <v>291</v>
      </c>
      <c r="B18" s="434">
        <f>'P&amp;L - 5 year'!D178</f>
        <v>1549311.5</v>
      </c>
      <c r="C18" s="434">
        <f>'P&amp;L - 5 year'!E178</f>
        <v>-2169362.2632051869</v>
      </c>
      <c r="D18" s="435">
        <f t="shared" si="1"/>
        <v>3028623</v>
      </c>
      <c r="E18" s="435">
        <f t="shared" si="2"/>
        <v>-6847824.6020909715</v>
      </c>
      <c r="F18" s="434">
        <f t="shared" si="3"/>
        <v>-3819201.6020909715</v>
      </c>
      <c r="G18" s="1039"/>
      <c r="H18" s="434">
        <f t="shared" si="4"/>
        <v>1320798.397909028</v>
      </c>
    </row>
    <row r="19" spans="1:8">
      <c r="A19" s="144" t="s">
        <v>308</v>
      </c>
      <c r="B19" s="434">
        <f>'P&amp;L - 5 year'!D179</f>
        <v>4655236.5250000004</v>
      </c>
      <c r="C19" s="434">
        <f>'P&amp;L - 5 year'!E179</f>
        <v>-1688612.039181123</v>
      </c>
      <c r="D19" s="435">
        <f t="shared" si="1"/>
        <v>7683859.5250000004</v>
      </c>
      <c r="E19" s="435">
        <f t="shared" si="2"/>
        <v>-8536436.6412720941</v>
      </c>
      <c r="F19" s="434">
        <f t="shared" si="3"/>
        <v>-852577.11627209373</v>
      </c>
      <c r="G19" s="1039"/>
      <c r="H19" s="434">
        <f t="shared" si="4"/>
        <v>4287422.8837279063</v>
      </c>
    </row>
    <row r="20" spans="1:8">
      <c r="A20" s="144" t="s">
        <v>309</v>
      </c>
      <c r="B20" s="434">
        <f>'P&amp;L - 5 year'!D180</f>
        <v>4657436.5250000004</v>
      </c>
      <c r="C20" s="434">
        <f>'P&amp;L - 5 year'!E180</f>
        <v>-774858.02275307616</v>
      </c>
      <c r="D20" s="435">
        <f t="shared" si="1"/>
        <v>12341296.050000001</v>
      </c>
      <c r="E20" s="435">
        <f t="shared" si="2"/>
        <v>-9311294.6640251707</v>
      </c>
      <c r="F20" s="434">
        <f t="shared" si="3"/>
        <v>3030001.38597483</v>
      </c>
      <c r="G20" s="1039"/>
      <c r="H20" s="434">
        <f t="shared" si="4"/>
        <v>8170001.38597483</v>
      </c>
    </row>
    <row r="21" spans="1:8" ht="15.75" customHeight="1">
      <c r="A21" s="144" t="s">
        <v>310</v>
      </c>
      <c r="B21" s="434">
        <f>'P&amp;L - 5 year'!D181</f>
        <v>1395789.5</v>
      </c>
      <c r="C21" s="434">
        <f>'P&amp;L - 5 year'!E181</f>
        <v>-6122504.3021013523</v>
      </c>
      <c r="D21" s="435">
        <f t="shared" si="1"/>
        <v>13737085.550000001</v>
      </c>
      <c r="E21" s="435">
        <f t="shared" si="2"/>
        <v>-15433798.966126524</v>
      </c>
      <c r="F21" s="434">
        <f t="shared" si="3"/>
        <v>-1696713.4161265232</v>
      </c>
      <c r="G21" s="1039"/>
      <c r="H21" s="434">
        <f t="shared" si="4"/>
        <v>3443286.5838734778</v>
      </c>
    </row>
    <row r="22" spans="1:8" ht="15.75" customHeight="1">
      <c r="A22" s="144" t="s">
        <v>311</v>
      </c>
      <c r="B22" s="434">
        <f>'P&amp;L - 5 year'!D182</f>
        <v>553198.5</v>
      </c>
      <c r="C22" s="434">
        <f>'P&amp;L - 5 year'!E182</f>
        <v>-662157.87284977478</v>
      </c>
      <c r="D22" s="435">
        <f t="shared" si="1"/>
        <v>14290284.050000001</v>
      </c>
      <c r="E22" s="435">
        <f t="shared" si="2"/>
        <v>-16095956.838976299</v>
      </c>
      <c r="F22" s="434">
        <f t="shared" si="3"/>
        <v>-1805672.7889762986</v>
      </c>
      <c r="G22" s="1039"/>
      <c r="H22" s="434">
        <f t="shared" si="4"/>
        <v>3334327.2110237032</v>
      </c>
    </row>
    <row r="23" spans="1:8" ht="15.75" customHeight="1">
      <c r="A23" s="144" t="s">
        <v>312</v>
      </c>
      <c r="B23" s="434">
        <f>'P&amp;L - 5 year'!D183</f>
        <v>294048.11666666676</v>
      </c>
      <c r="C23" s="434">
        <f>'P&amp;L - 5 year'!E183</f>
        <v>-1124403.6339792197</v>
      </c>
      <c r="D23" s="435">
        <f t="shared" si="1"/>
        <v>14584332.166666668</v>
      </c>
      <c r="E23" s="435">
        <f t="shared" si="2"/>
        <v>-17220360.472955517</v>
      </c>
      <c r="F23" s="434">
        <f t="shared" si="3"/>
        <v>-2636028.3062888496</v>
      </c>
      <c r="G23" s="1039"/>
      <c r="H23" s="434">
        <f t="shared" si="4"/>
        <v>2503971.6937111504</v>
      </c>
    </row>
    <row r="24" spans="1:8" ht="15.75" customHeight="1">
      <c r="A24" s="144" t="s">
        <v>313</v>
      </c>
      <c r="B24" s="434">
        <f>'P&amp;L - 5 year'!D184</f>
        <v>8008491.5216666674</v>
      </c>
      <c r="C24" s="434">
        <f>'P&amp;L - 5 year'!E184</f>
        <v>-4184347.0476577971</v>
      </c>
      <c r="D24" s="435">
        <f t="shared" si="1"/>
        <v>22592823.688333336</v>
      </c>
      <c r="E24" s="435">
        <f t="shared" si="2"/>
        <v>-21404707.520613313</v>
      </c>
      <c r="F24" s="434">
        <f t="shared" si="3"/>
        <v>1188116.1677200235</v>
      </c>
      <c r="G24" s="1039"/>
      <c r="H24" s="434">
        <f t="shared" si="4"/>
        <v>6328116.1677200217</v>
      </c>
    </row>
    <row r="25" spans="1:8" ht="15.75" customHeight="1">
      <c r="A25" s="144" t="s">
        <v>314</v>
      </c>
      <c r="B25" s="434">
        <f>'P&amp;L - 5 year'!D185</f>
        <v>2232725.1336666672</v>
      </c>
      <c r="C25" s="434">
        <f>'P&amp;L - 5 year'!E185</f>
        <v>-2026538.9995257515</v>
      </c>
      <c r="D25" s="435">
        <f t="shared" si="1"/>
        <v>24825548.822000004</v>
      </c>
      <c r="E25" s="435">
        <f t="shared" si="2"/>
        <v>-23431246.520139065</v>
      </c>
      <c r="F25" s="434">
        <f t="shared" si="3"/>
        <v>1394302.3018609397</v>
      </c>
      <c r="G25" s="1039"/>
      <c r="H25" s="434">
        <f t="shared" si="4"/>
        <v>6534302.301860936</v>
      </c>
    </row>
    <row r="26" spans="1:8" ht="15.75" customHeight="1">
      <c r="A26" s="144" t="s">
        <v>315</v>
      </c>
      <c r="B26" s="434">
        <f>'P&amp;L - 5 year'!D186</f>
        <v>304709.69286666677</v>
      </c>
      <c r="C26" s="434">
        <f>'P&amp;L - 5 year'!E186</f>
        <v>-2441680.1423235736</v>
      </c>
      <c r="D26" s="435">
        <f t="shared" si="1"/>
        <v>25130258.514866672</v>
      </c>
      <c r="E26" s="435">
        <f t="shared" si="2"/>
        <v>-25872926.662462637</v>
      </c>
      <c r="F26" s="434">
        <f t="shared" si="3"/>
        <v>-742668.14759596437</v>
      </c>
      <c r="G26" s="1039"/>
      <c r="H26" s="434">
        <f t="shared" si="4"/>
        <v>4397331.85240403</v>
      </c>
    </row>
    <row r="27" spans="1:8" ht="15.75" customHeight="1">
      <c r="A27" s="144" t="s">
        <v>316</v>
      </c>
      <c r="B27" s="434">
        <f>'P&amp;L - 5 year'!D187</f>
        <v>8553934.7704866678</v>
      </c>
      <c r="C27" s="434">
        <f>'P&amp;L - 5 year'!E187</f>
        <v>-4044214.7250709673</v>
      </c>
      <c r="D27" s="435">
        <f t="shared" si="1"/>
        <v>33684193.28535334</v>
      </c>
      <c r="E27" s="435">
        <f t="shared" si="2"/>
        <v>-29917141.387533605</v>
      </c>
      <c r="F27" s="434">
        <f t="shared" si="3"/>
        <v>3767051.8978197351</v>
      </c>
      <c r="G27" s="1039"/>
      <c r="H27" s="434">
        <f t="shared" si="4"/>
        <v>8907051.8978197314</v>
      </c>
    </row>
    <row r="28" spans="1:8" ht="15.75" customHeight="1">
      <c r="A28" s="144" t="s">
        <v>317</v>
      </c>
      <c r="B28" s="434">
        <f>'P&amp;L - 5 year'!D188</f>
        <v>7082218.1358686667</v>
      </c>
      <c r="C28" s="434">
        <f>'P&amp;L - 5 year'!E188</f>
        <v>-5814006.5312300082</v>
      </c>
      <c r="D28" s="435">
        <f t="shared" si="1"/>
        <v>40766411.421222009</v>
      </c>
      <c r="E28" s="435">
        <f t="shared" si="2"/>
        <v>-35731147.918763615</v>
      </c>
      <c r="F28" s="434">
        <f t="shared" si="3"/>
        <v>5035263.5024583936</v>
      </c>
      <c r="G28" s="1039"/>
      <c r="H28" s="434">
        <f t="shared" si="4"/>
        <v>10175263.50245839</v>
      </c>
    </row>
    <row r="29" spans="1:8" ht="15.75" customHeight="1">
      <c r="A29" s="144" t="s">
        <v>318</v>
      </c>
      <c r="B29" s="434">
        <f>'P&amp;L - 5 year'!D189</f>
        <v>318900.25078886672</v>
      </c>
      <c r="C29" s="434">
        <f>'P&amp;L - 5 year'!E189</f>
        <v>-1273367.108106755</v>
      </c>
      <c r="D29" s="435">
        <f t="shared" si="1"/>
        <v>41085311.672010876</v>
      </c>
      <c r="E29" s="435">
        <f t="shared" si="2"/>
        <v>-37004515.02687037</v>
      </c>
      <c r="F29" s="434">
        <f t="shared" si="3"/>
        <v>4080796.6451405063</v>
      </c>
      <c r="G29" s="1039"/>
      <c r="H29" s="434">
        <f t="shared" si="4"/>
        <v>9220796.6451405026</v>
      </c>
    </row>
    <row r="30" spans="1:8" ht="15.75" customHeight="1">
      <c r="A30" s="144" t="s">
        <v>319</v>
      </c>
      <c r="B30" s="434">
        <f>'P&amp;L - 5 year'!D190</f>
        <v>1736018.4008677534</v>
      </c>
      <c r="C30" s="434">
        <f>'P&amp;L - 5 year'!E190</f>
        <v>-5157572.3605649602</v>
      </c>
      <c r="D30" s="435">
        <f t="shared" si="1"/>
        <v>42821330.072878629</v>
      </c>
      <c r="E30" s="435">
        <f t="shared" si="2"/>
        <v>-42162087.387435332</v>
      </c>
      <c r="F30" s="434">
        <f t="shared" si="3"/>
        <v>659242.68544329703</v>
      </c>
      <c r="G30" s="1039"/>
      <c r="H30" s="434">
        <f t="shared" si="4"/>
        <v>5799242.6854432952</v>
      </c>
    </row>
    <row r="31" spans="1:8" ht="15.75" customHeight="1">
      <c r="A31" s="144" t="s">
        <v>320</v>
      </c>
      <c r="B31" s="434">
        <f>'P&amp;L - 5 year'!D191</f>
        <v>1746040.2576211954</v>
      </c>
      <c r="C31" s="434">
        <f>'P&amp;L - 5 year'!E191</f>
        <v>-1978798.2669930146</v>
      </c>
      <c r="D31" s="435">
        <f t="shared" si="1"/>
        <v>44567370.330499828</v>
      </c>
      <c r="E31" s="435">
        <f t="shared" si="2"/>
        <v>-44140885.654428348</v>
      </c>
      <c r="F31" s="434">
        <f t="shared" si="3"/>
        <v>426484.67607147992</v>
      </c>
      <c r="G31" s="1039"/>
      <c r="H31" s="434">
        <f t="shared" si="4"/>
        <v>5566484.6760714762</v>
      </c>
    </row>
    <row r="32" spans="1:8" ht="15.75" customHeight="1">
      <c r="A32" s="144" t="s">
        <v>321</v>
      </c>
      <c r="B32" s="434">
        <f>'P&amp;L - 5 year'!D192</f>
        <v>1471956.7000499812</v>
      </c>
      <c r="C32" s="434">
        <f>'P&amp;L - 5 year'!E192</f>
        <v>-1789738.0983699409</v>
      </c>
      <c r="D32" s="435">
        <f t="shared" si="1"/>
        <v>46039327.030549809</v>
      </c>
      <c r="E32" s="435">
        <f t="shared" si="2"/>
        <v>-45930623.752798289</v>
      </c>
      <c r="F32" s="434">
        <f t="shared" si="3"/>
        <v>108703.27775152028</v>
      </c>
      <c r="G32" s="1039"/>
      <c r="H32" s="434">
        <f t="shared" si="4"/>
        <v>5248703.2777515166</v>
      </c>
    </row>
    <row r="33" spans="1:8" ht="15.75" customHeight="1">
      <c r="A33" s="144" t="s">
        <v>322</v>
      </c>
      <c r="B33" s="434">
        <f>'P&amp;L - 5 year'!D193</f>
        <v>2747564.7472216468</v>
      </c>
      <c r="C33" s="434">
        <f>'P&amp;L - 5 year'!E193</f>
        <v>-2603964.374188547</v>
      </c>
      <c r="D33" s="435">
        <f t="shared" si="1"/>
        <v>48786891.777771458</v>
      </c>
      <c r="E33" s="435">
        <f t="shared" si="2"/>
        <v>-48534588.126986839</v>
      </c>
      <c r="F33" s="434">
        <f t="shared" si="3"/>
        <v>252303.65078461915</v>
      </c>
      <c r="G33" s="1039"/>
      <c r="H33" s="434">
        <f t="shared" si="4"/>
        <v>5392303.6507846164</v>
      </c>
    </row>
    <row r="34" spans="1:8" ht="15.75" customHeight="1">
      <c r="A34" s="144" t="s">
        <v>323</v>
      </c>
      <c r="B34" s="434">
        <f>'P&amp;L - 5 year'!D194</f>
        <v>1761271.3795954776</v>
      </c>
      <c r="C34" s="434">
        <f>'P&amp;L - 5 year'!E194</f>
        <v>-2615747.2723226808</v>
      </c>
      <c r="D34" s="435">
        <f t="shared" si="1"/>
        <v>50548163.157366939</v>
      </c>
      <c r="E34" s="435">
        <f t="shared" si="2"/>
        <v>-51150335.399309516</v>
      </c>
      <c r="F34" s="434">
        <f t="shared" si="3"/>
        <v>-602172.24194257706</v>
      </c>
      <c r="G34" s="1039"/>
      <c r="H34" s="434">
        <f t="shared" si="4"/>
        <v>4537827.7580574136</v>
      </c>
    </row>
    <row r="35" spans="1:8" ht="15.75" customHeight="1">
      <c r="A35" s="144" t="s">
        <v>324</v>
      </c>
      <c r="B35" s="434">
        <f>'P&amp;L - 5 year'!D195</f>
        <v>1775370.2566256423</v>
      </c>
      <c r="C35" s="434">
        <f>'P&amp;L - 5 year'!E195</f>
        <v>-1845121.1663218874</v>
      </c>
      <c r="D35" s="435">
        <f t="shared" si="1"/>
        <v>52323533.413992584</v>
      </c>
      <c r="E35" s="435">
        <f t="shared" si="2"/>
        <v>-52995456.565631405</v>
      </c>
      <c r="F35" s="434">
        <f t="shared" si="3"/>
        <v>-671923.15163882077</v>
      </c>
      <c r="G35" s="1039"/>
      <c r="H35" s="434">
        <f t="shared" si="4"/>
        <v>4468076.8483611681</v>
      </c>
    </row>
    <row r="36" spans="1:8" ht="15.75" customHeight="1">
      <c r="A36" s="144" t="s">
        <v>325</v>
      </c>
      <c r="B36" s="434">
        <f>'P&amp;L - 5 year'!D196</f>
        <v>13621665.793427102</v>
      </c>
      <c r="C36" s="434">
        <f>'P&amp;L - 5 year'!E196</f>
        <v>-8415501.0288065523</v>
      </c>
      <c r="D36" s="435">
        <f t="shared" si="1"/>
        <v>65945199.207419686</v>
      </c>
      <c r="E36" s="435">
        <f t="shared" si="2"/>
        <v>-61410957.594437957</v>
      </c>
      <c r="F36" s="434">
        <f t="shared" si="3"/>
        <v>4534241.6129817292</v>
      </c>
      <c r="G36" s="1039"/>
      <c r="H36" s="434">
        <f t="shared" si="4"/>
        <v>9674241.612981718</v>
      </c>
    </row>
    <row r="37" spans="1:8" ht="15.75" customHeight="1">
      <c r="A37" s="144" t="s">
        <v>326</v>
      </c>
      <c r="B37" s="434">
        <f>'P&amp;L - 5 year'!D197</f>
        <v>1807471.8232217587</v>
      </c>
      <c r="C37" s="434">
        <f>'P&amp;L - 5 year'!E197</f>
        <v>-4805167.7930018473</v>
      </c>
      <c r="D37" s="435">
        <f t="shared" si="1"/>
        <v>67752671.030641451</v>
      </c>
      <c r="E37" s="435">
        <f t="shared" si="2"/>
        <v>-66216125.387439802</v>
      </c>
      <c r="F37" s="434">
        <f t="shared" si="3"/>
        <v>1536545.6432016492</v>
      </c>
      <c r="G37" s="1039"/>
      <c r="H37" s="434">
        <f t="shared" si="4"/>
        <v>6676545.6432016287</v>
      </c>
    </row>
    <row r="38" spans="1:8" ht="15.75" customHeight="1">
      <c r="A38" s="144" t="s">
        <v>327</v>
      </c>
      <c r="B38" s="434">
        <f>'P&amp;L - 5 year'!D198</f>
        <v>1825717.2929408534</v>
      </c>
      <c r="C38" s="434">
        <f>'P&amp;L - 5 year'!E198</f>
        <v>-1817064.7521946793</v>
      </c>
      <c r="D38" s="435">
        <f t="shared" si="1"/>
        <v>69578388.323582307</v>
      </c>
      <c r="E38" s="435">
        <f t="shared" si="2"/>
        <v>-68033190.139634475</v>
      </c>
      <c r="F38" s="434">
        <f t="shared" si="3"/>
        <v>1545198.1839478314</v>
      </c>
      <c r="G38" s="1039"/>
      <c r="H38" s="434">
        <f t="shared" si="4"/>
        <v>6685198.1839478025</v>
      </c>
    </row>
    <row r="39" spans="1:8" ht="15.75" customHeight="1">
      <c r="A39" s="144" t="s">
        <v>328</v>
      </c>
      <c r="B39" s="434">
        <f>'P&amp;L - 5 year'!D199</f>
        <v>20294356.100082971</v>
      </c>
      <c r="C39" s="434">
        <f>'P&amp;L - 5 year'!E199</f>
        <v>-13427069.103755437</v>
      </c>
      <c r="D39" s="435">
        <f t="shared" si="1"/>
        <v>89872744.423665285</v>
      </c>
      <c r="E39" s="435">
        <f t="shared" si="2"/>
        <v>-81460259.243389904</v>
      </c>
      <c r="F39" s="434">
        <f t="shared" si="3"/>
        <v>8412485.1802753806</v>
      </c>
      <c r="G39" s="1039"/>
      <c r="H39" s="434">
        <f t="shared" si="4"/>
        <v>13552485.180275336</v>
      </c>
    </row>
    <row r="40" spans="1:8" ht="15.75" customHeight="1">
      <c r="A40" s="144" t="s">
        <v>329</v>
      </c>
      <c r="B40" s="434">
        <f>'P&amp;L - 5 year'!D200</f>
        <v>2532871.639722005</v>
      </c>
      <c r="C40" s="434">
        <f>'P&amp;L - 5 year'!E200</f>
        <v>-3185458.0644953097</v>
      </c>
      <c r="D40" s="435">
        <f t="shared" si="1"/>
        <v>92405616.06338729</v>
      </c>
      <c r="E40" s="435">
        <f t="shared" si="2"/>
        <v>-84645717.307885215</v>
      </c>
      <c r="F40" s="434">
        <f t="shared" si="3"/>
        <v>7759898.755502075</v>
      </c>
      <c r="G40" s="1039"/>
      <c r="H40" s="434">
        <f t="shared" si="4"/>
        <v>12899898.75550203</v>
      </c>
    </row>
    <row r="41" spans="1:8" ht="15.75" customHeight="1">
      <c r="A41" s="144" t="s">
        <v>330</v>
      </c>
      <c r="B41" s="434">
        <f>'P&amp;L - 5 year'!D201</f>
        <v>1890939.9614324225</v>
      </c>
      <c r="C41" s="434">
        <f>'P&amp;L - 5 year'!E201</f>
        <v>-2743612.8504361757</v>
      </c>
      <c r="D41" s="435">
        <f t="shared" si="1"/>
        <v>94296556.024819717</v>
      </c>
      <c r="E41" s="435">
        <f t="shared" si="2"/>
        <v>-87389330.158321396</v>
      </c>
      <c r="F41" s="434">
        <f t="shared" si="3"/>
        <v>6907225.8664983213</v>
      </c>
      <c r="G41" s="1039"/>
      <c r="H41" s="434">
        <f t="shared" si="4"/>
        <v>12047225.866498278</v>
      </c>
    </row>
    <row r="42" spans="1:8" ht="15.75" customHeight="1">
      <c r="A42" s="144" t="s">
        <v>331</v>
      </c>
      <c r="B42" s="434">
        <f>'P&amp;L - 5 year'!D202</f>
        <v>4868884.6035255576</v>
      </c>
      <c r="C42" s="434">
        <f>'P&amp;L - 5 year'!E202</f>
        <v>-3549858.0183989285</v>
      </c>
      <c r="D42" s="435">
        <f t="shared" si="1"/>
        <v>99165440.628345281</v>
      </c>
      <c r="E42" s="435">
        <f t="shared" si="2"/>
        <v>-90939188.176720321</v>
      </c>
      <c r="F42" s="434">
        <f t="shared" si="3"/>
        <v>8226252.4516249597</v>
      </c>
      <c r="G42" s="1039"/>
      <c r="H42" s="434">
        <f t="shared" si="4"/>
        <v>13366252.451624908</v>
      </c>
    </row>
    <row r="43" spans="1:8" ht="15.75" customHeight="1">
      <c r="A43" s="144" t="s">
        <v>332</v>
      </c>
      <c r="B43" s="434">
        <f>'P&amp;L - 5 year'!D203</f>
        <v>4099031.8263778305</v>
      </c>
      <c r="C43" s="434">
        <f>'P&amp;L - 5 year'!E203</f>
        <v>-2858825.5009252913</v>
      </c>
      <c r="D43" s="435">
        <f t="shared" si="1"/>
        <v>103264472.4547231</v>
      </c>
      <c r="E43" s="435">
        <f t="shared" si="2"/>
        <v>-93798013.677645609</v>
      </c>
      <c r="F43" s="434">
        <f t="shared" si="3"/>
        <v>9466458.7770774961</v>
      </c>
      <c r="G43" s="1039"/>
      <c r="H43" s="434">
        <f t="shared" si="4"/>
        <v>14606458.777077448</v>
      </c>
    </row>
    <row r="44" spans="1:8" ht="15.75" customHeight="1">
      <c r="A44" s="144" t="s">
        <v>333</v>
      </c>
      <c r="B44" s="434">
        <f>'P&amp;L - 5 year'!D204</f>
        <v>4129726.1077903118</v>
      </c>
      <c r="C44" s="434">
        <f>'P&amp;L - 5 year'!E204</f>
        <v>-2871942.0273257243</v>
      </c>
      <c r="D44" s="435">
        <f t="shared" si="1"/>
        <v>107394198.56251341</v>
      </c>
      <c r="E44" s="435">
        <f t="shared" si="2"/>
        <v>-96669955.704971328</v>
      </c>
      <c r="F44" s="434">
        <f t="shared" si="3"/>
        <v>10724242.857542083</v>
      </c>
      <c r="G44" s="1039"/>
      <c r="H44" s="434">
        <f t="shared" si="4"/>
        <v>15864242.857542034</v>
      </c>
    </row>
    <row r="45" spans="1:8" ht="15.75" customHeight="1">
      <c r="A45" s="144" t="s">
        <v>334</v>
      </c>
      <c r="B45" s="434">
        <f>'P&amp;L - 5 year'!D205</f>
        <v>5572766.1712582698</v>
      </c>
      <c r="C45" s="434">
        <f>'P&amp;L - 5 year'!E205</f>
        <v>-3636016.4760652781</v>
      </c>
      <c r="D45" s="435">
        <f t="shared" si="1"/>
        <v>112966964.73377168</v>
      </c>
      <c r="E45" s="435">
        <f t="shared" si="2"/>
        <v>-100305972.18103661</v>
      </c>
      <c r="F45" s="434">
        <f t="shared" si="3"/>
        <v>12660992.552735075</v>
      </c>
      <c r="G45" s="1039"/>
      <c r="H45" s="434">
        <f t="shared" si="4"/>
        <v>17800992.552735027</v>
      </c>
    </row>
    <row r="46" spans="1:8" ht="15.75" customHeight="1">
      <c r="A46" s="144" t="s">
        <v>335</v>
      </c>
      <c r="B46" s="434">
        <f>'P&amp;L - 5 year'!D206</f>
        <v>4562500.4327612491</v>
      </c>
      <c r="C46" s="434">
        <f>'P&amp;L - 5 year'!E206</f>
        <v>-3924783.3527522697</v>
      </c>
      <c r="D46" s="435">
        <f t="shared" si="1"/>
        <v>117529465.16653293</v>
      </c>
      <c r="E46" s="435">
        <f t="shared" si="2"/>
        <v>-104230755.53378887</v>
      </c>
      <c r="F46" s="434">
        <f t="shared" si="3"/>
        <v>13298709.632744059</v>
      </c>
      <c r="G46" s="1039"/>
      <c r="H46" s="434">
        <f t="shared" si="4"/>
        <v>18438709.632744007</v>
      </c>
    </row>
    <row r="47" spans="1:8" ht="15.75" customHeight="1">
      <c r="A47" s="144" t="s">
        <v>336</v>
      </c>
      <c r="B47" s="434">
        <f>'P&amp;L - 5 year'!D207</f>
        <v>4602398.2732209256</v>
      </c>
      <c r="C47" s="434">
        <f>'P&amp;L - 5 year'!E207</f>
        <v>-2960526.0084160296</v>
      </c>
      <c r="D47" s="435">
        <f t="shared" si="1"/>
        <v>122131863.43975386</v>
      </c>
      <c r="E47" s="435">
        <f t="shared" si="2"/>
        <v>-107191281.5422049</v>
      </c>
      <c r="F47" s="434">
        <f t="shared" si="3"/>
        <v>14940581.897548959</v>
      </c>
      <c r="G47" s="1039"/>
      <c r="H47" s="434">
        <f t="shared" si="4"/>
        <v>20080581.897548903</v>
      </c>
    </row>
    <row r="48" spans="1:8" ht="15.75" customHeight="1">
      <c r="A48" s="144" t="s">
        <v>337</v>
      </c>
      <c r="B48" s="434">
        <f>'P&amp;L - 5 year'!D208</f>
        <v>18984774.072129425</v>
      </c>
      <c r="C48" s="434">
        <f>'P&amp;L - 5 year'!E208</f>
        <v>-11079993.25546157</v>
      </c>
      <c r="D48" s="435">
        <f t="shared" si="1"/>
        <v>141116637.51188329</v>
      </c>
      <c r="E48" s="435">
        <f t="shared" si="2"/>
        <v>-118271274.79766648</v>
      </c>
      <c r="F48" s="434">
        <f t="shared" si="3"/>
        <v>22845362.714216813</v>
      </c>
      <c r="G48" s="1039"/>
      <c r="H48" s="434">
        <f t="shared" si="4"/>
        <v>27985362.714216758</v>
      </c>
    </row>
    <row r="49" spans="1:8" ht="15.75" customHeight="1">
      <c r="A49" s="144" t="s">
        <v>338</v>
      </c>
      <c r="B49" s="434">
        <f>'P&amp;L - 5 year'!D209</f>
        <v>4693510.8730398118</v>
      </c>
      <c r="C49" s="434">
        <f>'P&amp;L - 5 year'!E209</f>
        <v>-6526191.2142997319</v>
      </c>
      <c r="D49" s="435">
        <f t="shared" si="1"/>
        <v>145810148.3849231</v>
      </c>
      <c r="E49" s="435">
        <f t="shared" si="2"/>
        <v>-124797466.01196621</v>
      </c>
      <c r="F49" s="434">
        <f t="shared" si="3"/>
        <v>21012682.372956887</v>
      </c>
      <c r="G49" s="1039"/>
      <c r="H49" s="434">
        <f t="shared" si="4"/>
        <v>26152682.372956838</v>
      </c>
    </row>
    <row r="50" spans="1:8" ht="15.75" customHeight="1">
      <c r="A50" s="144" t="s">
        <v>339</v>
      </c>
      <c r="B50" s="434">
        <f>'P&amp;L - 5 year'!D210</f>
        <v>4745443.4536500629</v>
      </c>
      <c r="C50" s="434">
        <f>'P&amp;L - 5 year'!E210</f>
        <v>-3021872.6847771052</v>
      </c>
      <c r="D50" s="435">
        <f t="shared" si="1"/>
        <v>150555591.83857316</v>
      </c>
      <c r="E50" s="435">
        <f t="shared" si="2"/>
        <v>-127819338.69674332</v>
      </c>
      <c r="F50" s="434">
        <f t="shared" si="3"/>
        <v>22736253.141829833</v>
      </c>
      <c r="G50" s="1039"/>
      <c r="H50" s="434">
        <f t="shared" si="4"/>
        <v>27876253.141829796</v>
      </c>
    </row>
    <row r="51" spans="1:8" ht="15.75" customHeight="1">
      <c r="A51" s="144" t="s">
        <v>340</v>
      </c>
      <c r="B51" s="434">
        <f>'P&amp;L - 5 year'!D211</f>
        <v>26366548.325452778</v>
      </c>
      <c r="C51" s="434">
        <f>'P&amp;L - 5 year'!E211</f>
        <v>-16689992.111602861</v>
      </c>
      <c r="D51" s="435">
        <f t="shared" si="1"/>
        <v>176922140.16402593</v>
      </c>
      <c r="E51" s="435">
        <f t="shared" si="2"/>
        <v>-144509330.80834618</v>
      </c>
      <c r="F51" s="434">
        <f t="shared" si="3"/>
        <v>32412809.35567975</v>
      </c>
      <c r="G51" s="1039"/>
      <c r="H51" s="434">
        <f t="shared" si="4"/>
        <v>37552809.355679721</v>
      </c>
    </row>
    <row r="52" spans="1:8" ht="15.75" customHeight="1">
      <c r="A52" s="144" t="s">
        <v>341</v>
      </c>
      <c r="B52" s="434">
        <f>'P&amp;L - 5 year'!D212</f>
        <v>5763283.3003864074</v>
      </c>
      <c r="C52" s="434">
        <f>'P&amp;L - 5 year'!E212</f>
        <v>-4590877.2981167063</v>
      </c>
      <c r="D52" s="435">
        <f t="shared" si="1"/>
        <v>182685423.46441233</v>
      </c>
      <c r="E52" s="435">
        <f t="shared" si="2"/>
        <v>-149100208.1064629</v>
      </c>
      <c r="F52" s="434">
        <f t="shared" si="3"/>
        <v>33585215.357949436</v>
      </c>
      <c r="G52" s="1039"/>
      <c r="H52" s="434">
        <f t="shared" si="4"/>
        <v>38725215.357949421</v>
      </c>
    </row>
    <row r="53" spans="1:8" ht="15.75" customHeight="1">
      <c r="A53" s="144" t="s">
        <v>342</v>
      </c>
      <c r="B53" s="434">
        <f>'P&amp;L - 5 year'!D213</f>
        <v>4931806.8846305814</v>
      </c>
      <c r="C53" s="434">
        <f>'P&amp;L - 5 year'!E213</f>
        <v>-4000774.4559371821</v>
      </c>
      <c r="D53" s="435">
        <f t="shared" si="1"/>
        <v>187617230.34904292</v>
      </c>
      <c r="E53" s="435">
        <f t="shared" si="2"/>
        <v>-153100982.56240007</v>
      </c>
      <c r="F53" s="434">
        <f t="shared" si="3"/>
        <v>34516247.786642849</v>
      </c>
      <c r="G53" s="1039"/>
      <c r="H53" s="434">
        <f t="shared" si="4"/>
        <v>39656247.78664282</v>
      </c>
    </row>
    <row r="54" spans="1:8" ht="15.75" customHeight="1">
      <c r="A54" s="144" t="s">
        <v>343</v>
      </c>
      <c r="B54" s="434">
        <f>'P&amp;L - 5 year'!D214</f>
        <v>8299912.7093302272</v>
      </c>
      <c r="C54" s="434">
        <f>'P&amp;L - 5 year'!E214</f>
        <v>-5301482.8053756645</v>
      </c>
      <c r="D54" s="435">
        <f t="shared" si="1"/>
        <v>195917143.05837315</v>
      </c>
      <c r="E54" s="435">
        <f t="shared" si="2"/>
        <v>-158402465.36777574</v>
      </c>
      <c r="F54" s="434">
        <f t="shared" si="3"/>
        <v>37514677.690597415</v>
      </c>
      <c r="G54" s="1039"/>
      <c r="H54" s="434">
        <f t="shared" si="4"/>
        <v>42654677.690597385</v>
      </c>
    </row>
    <row r="55" spans="1:8" ht="15.75" customHeight="1">
      <c r="A55" s="144" t="s">
        <v>344</v>
      </c>
      <c r="B55" s="434">
        <f>'P&amp;L - 5 year'!D215</f>
        <v>7240753.0846363995</v>
      </c>
      <c r="C55" s="434">
        <f>'P&amp;L - 5 year'!E215</f>
        <v>-4293752.3780325772</v>
      </c>
      <c r="D55" s="435">
        <f t="shared" si="1"/>
        <v>203157896.14300954</v>
      </c>
      <c r="E55" s="435">
        <f t="shared" si="2"/>
        <v>-162696217.7458083</v>
      </c>
      <c r="F55" s="434">
        <f t="shared" si="3"/>
        <v>40461678.39720124</v>
      </c>
      <c r="G55" s="1039"/>
      <c r="H55" s="434">
        <f t="shared" si="4"/>
        <v>45601678.397201203</v>
      </c>
    </row>
    <row r="56" spans="1:8" ht="15.75" customHeight="1">
      <c r="A56" s="144" t="s">
        <v>345</v>
      </c>
      <c r="B56" s="434">
        <f>'P&amp;L - 5 year'!D216</f>
        <v>7329086.7170459749</v>
      </c>
      <c r="C56" s="434">
        <f>'P&amp;L - 5 year'!E216</f>
        <v>-4341252.8528385377</v>
      </c>
      <c r="D56" s="435">
        <f t="shared" si="1"/>
        <v>210486982.86005551</v>
      </c>
      <c r="E56" s="435">
        <f t="shared" si="2"/>
        <v>-167037470.59864685</v>
      </c>
      <c r="F56" s="434">
        <f t="shared" si="3"/>
        <v>43449512.261408657</v>
      </c>
      <c r="G56" s="1039"/>
      <c r="H56" s="434">
        <f t="shared" si="4"/>
        <v>48589512.261408642</v>
      </c>
    </row>
    <row r="57" spans="1:8" ht="15.75" customHeight="1">
      <c r="A57" s="144" t="s">
        <v>346</v>
      </c>
      <c r="B57" s="434">
        <f>'P&amp;L - 5 year'!D217</f>
        <v>7425643.9406393915</v>
      </c>
      <c r="C57" s="434">
        <f>'P&amp;L - 5 year'!E217</f>
        <v>-5291676.5440103915</v>
      </c>
      <c r="D57" s="435">
        <f t="shared" si="1"/>
        <v>217912626.80069488</v>
      </c>
      <c r="E57" s="435">
        <f t="shared" si="2"/>
        <v>-172329147.14265725</v>
      </c>
      <c r="F57" s="434">
        <f t="shared" si="3"/>
        <v>45583479.658037633</v>
      </c>
      <c r="G57" s="1039"/>
      <c r="H57" s="434">
        <f t="shared" si="4"/>
        <v>50723479.65803764</v>
      </c>
    </row>
    <row r="58" spans="1:8" ht="15.75" customHeight="1">
      <c r="A58" s="144" t="s">
        <v>347</v>
      </c>
      <c r="B58" s="434">
        <f>'P&amp;L - 5 year'!D218</f>
        <v>7531204.430491033</v>
      </c>
      <c r="C58" s="434">
        <f>'P&amp;L - 5 year'!E218</f>
        <v>-6506712.4802542729</v>
      </c>
      <c r="D58" s="435">
        <f t="shared" si="1"/>
        <v>225443831.23118591</v>
      </c>
      <c r="E58" s="435">
        <f t="shared" si="2"/>
        <v>-178835859.62291151</v>
      </c>
      <c r="F58" s="434">
        <f t="shared" si="3"/>
        <v>46607971.6082744</v>
      </c>
      <c r="G58" s="1039"/>
      <c r="H58" s="434">
        <f t="shared" si="4"/>
        <v>51747971.6082744</v>
      </c>
    </row>
    <row r="59" spans="1:8" ht="15.75" customHeight="1">
      <c r="A59" s="144" t="s">
        <v>348</v>
      </c>
      <c r="B59" s="434">
        <f>'P&amp;L - 5 year'!D219</f>
        <v>7646622.8412996428</v>
      </c>
      <c r="C59" s="434">
        <f>'P&amp;L - 5 year'!E219</f>
        <v>-5409871.4555145595</v>
      </c>
      <c r="D59" s="435">
        <f t="shared" si="1"/>
        <v>233090454.07248557</v>
      </c>
      <c r="E59" s="435">
        <f t="shared" si="2"/>
        <v>-184245731.07842606</v>
      </c>
      <c r="F59" s="434">
        <f t="shared" si="3"/>
        <v>48844722.994059503</v>
      </c>
      <c r="G59" s="1039"/>
      <c r="H59" s="434">
        <f t="shared" si="4"/>
        <v>53984722.994059488</v>
      </c>
    </row>
    <row r="60" spans="1:8" ht="15.75" customHeight="1">
      <c r="A60" s="144" t="s">
        <v>349</v>
      </c>
      <c r="B60" s="434">
        <f>'P&amp;L - 5 year'!D220</f>
        <v>26815531.812865615</v>
      </c>
      <c r="C60" s="434">
        <f>'P&amp;L - 5 year'!E220</f>
        <v>-14662183.498891743</v>
      </c>
      <c r="D60" s="435">
        <f t="shared" si="1"/>
        <v>259905985.88535118</v>
      </c>
      <c r="E60" s="435">
        <f t="shared" si="2"/>
        <v>-198907914.5773178</v>
      </c>
      <c r="F60" s="434">
        <f t="shared" si="3"/>
        <v>60998071.308033377</v>
      </c>
      <c r="G60" s="1039"/>
      <c r="H60" s="434">
        <f t="shared" si="4"/>
        <v>66138071.308033362</v>
      </c>
    </row>
    <row r="61" spans="1:8" ht="15.75" customHeight="1">
      <c r="A61" s="144" t="s">
        <v>350</v>
      </c>
      <c r="B61" s="434">
        <f>'P&amp;L - 5 year'!D221</f>
        <v>10065038.056475371</v>
      </c>
      <c r="C61" s="434">
        <f>'P&amp;L - 5 year'!E221</f>
        <v>-9866316.7441915534</v>
      </c>
      <c r="D61" s="435">
        <f t="shared" si="1"/>
        <v>269971023.94182658</v>
      </c>
      <c r="E61" s="435">
        <f t="shared" si="2"/>
        <v>-208774231.32150936</v>
      </c>
      <c r="F61" s="434">
        <f t="shared" si="3"/>
        <v>61196792.620317221</v>
      </c>
      <c r="G61" s="1039"/>
      <c r="H61" s="434">
        <f t="shared" si="4"/>
        <v>66336792.620317176</v>
      </c>
    </row>
    <row r="62" spans="1:8" ht="15.75" customHeight="1">
      <c r="A62" s="144" t="s">
        <v>351</v>
      </c>
      <c r="B62" s="434">
        <f>'P&amp;L - 5 year'!D222</f>
        <v>10216021.642592058</v>
      </c>
      <c r="C62" s="434">
        <f>'P&amp;L - 5 year'!E222</f>
        <v>-5648184.8100246526</v>
      </c>
      <c r="D62" s="435">
        <f t="shared" si="1"/>
        <v>280187045.58441865</v>
      </c>
      <c r="E62" s="435">
        <f t="shared" si="2"/>
        <v>-214422416.13153401</v>
      </c>
      <c r="F62" s="434">
        <f t="shared" si="3"/>
        <v>65764629.452884644</v>
      </c>
      <c r="G62" s="1039"/>
      <c r="H62" s="434">
        <f t="shared" si="4"/>
        <v>70904629.452884585</v>
      </c>
    </row>
    <row r="63" spans="1:8" ht="15.75" customHeight="1">
      <c r="A63" s="144" t="s">
        <v>352</v>
      </c>
      <c r="B63" s="434">
        <f>'P&amp;L - 5 year'!D223</f>
        <v>35676742.533886582</v>
      </c>
      <c r="C63" s="434">
        <f>'P&amp;L - 5 year'!E223</f>
        <v>-20479524.128447767</v>
      </c>
      <c r="D63" s="435">
        <f t="shared" si="1"/>
        <v>315863788.11830521</v>
      </c>
      <c r="E63" s="435">
        <f t="shared" si="2"/>
        <v>-234901940.25998178</v>
      </c>
      <c r="F63" s="434">
        <f t="shared" si="3"/>
        <v>80961847.858323425</v>
      </c>
      <c r="G63" s="1039"/>
      <c r="H63" s="434">
        <f t="shared" si="4"/>
        <v>86101847.858323395</v>
      </c>
    </row>
    <row r="64" spans="1:8" ht="15.75" customHeight="1">
      <c r="A64" s="144" t="s">
        <v>353</v>
      </c>
      <c r="B64" s="434">
        <f>'P&amp;L - 5 year'!D224</f>
        <v>11731220.65863638</v>
      </c>
      <c r="C64" s="434">
        <f>'P&amp;L - 5 year'!E224</f>
        <v>-6628912.0925957235</v>
      </c>
      <c r="D64" s="435">
        <f t="shared" si="1"/>
        <v>327595008.7769416</v>
      </c>
      <c r="E64" s="435">
        <f t="shared" si="2"/>
        <v>-241530852.35257751</v>
      </c>
      <c r="F64" s="434">
        <f t="shared" si="3"/>
        <v>86064156.42436409</v>
      </c>
      <c r="G64" s="1039"/>
      <c r="H64" s="434">
        <f t="shared" si="4"/>
        <v>91204156.424364045</v>
      </c>
    </row>
    <row r="65" spans="1:8" ht="15.75" customHeight="1">
      <c r="A65" s="144" t="s">
        <v>354</v>
      </c>
      <c r="B65" s="434">
        <f>'P&amp;L - 5 year'!D225</f>
        <v>12327093.817939762</v>
      </c>
      <c r="C65" s="434">
        <f>'P&amp;L - 5 year'!E225</f>
        <v>-6831894.222586181</v>
      </c>
      <c r="D65" s="435">
        <f t="shared" si="1"/>
        <v>339922102.59488136</v>
      </c>
      <c r="E65" s="435">
        <f t="shared" si="2"/>
        <v>-248362746.57516369</v>
      </c>
      <c r="F65" s="434">
        <f t="shared" si="3"/>
        <v>91559356.019717664</v>
      </c>
      <c r="G65" s="1039"/>
      <c r="H65" s="434">
        <f t="shared" si="4"/>
        <v>96699356.019717619</v>
      </c>
    </row>
    <row r="66" spans="1:8" ht="15.75" customHeight="1">
      <c r="A66" s="145" t="s">
        <v>355</v>
      </c>
      <c r="B66" s="436">
        <f>SUM(B4:B65)</f>
        <v>339922102.59488136</v>
      </c>
      <c r="C66" s="436">
        <f>SUM(C6:C65)</f>
        <v>-248362746.57516369</v>
      </c>
      <c r="D66" s="436">
        <f t="shared" ref="D66:E66" si="5">SUM(D6:D41)</f>
        <v>1020167130.1020278</v>
      </c>
      <c r="E66" s="437">
        <f t="shared" si="5"/>
        <v>-1005299931.1016419</v>
      </c>
      <c r="F66" s="438"/>
      <c r="G66" s="438"/>
      <c r="H66" s="438"/>
    </row>
  </sheetData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71C8-E7D7-44D9-8F44-F06578117722}">
  <dimension ref="B1:BQ271"/>
  <sheetViews>
    <sheetView topLeftCell="A235" zoomScale="85" zoomScaleNormal="85" workbookViewId="0">
      <selection activeCell="C246" sqref="C246"/>
    </sheetView>
  </sheetViews>
  <sheetFormatPr baseColWidth="10" defaultColWidth="12.5" defaultRowHeight="15" customHeight="1"/>
  <cols>
    <col min="1" max="1" width="1.83203125" customWidth="1"/>
    <col min="2" max="2" width="33.83203125" bestFit="1" customWidth="1"/>
    <col min="3" max="3" width="23.6640625" customWidth="1"/>
    <col min="4" max="4" width="15.5" bestFit="1" customWidth="1"/>
    <col min="5" max="5" width="12.6640625" bestFit="1" customWidth="1"/>
    <col min="6" max="6" width="11.33203125" bestFit="1" customWidth="1"/>
    <col min="7" max="7" width="17.33203125" bestFit="1" customWidth="1"/>
    <col min="8" max="8" width="22.83203125" bestFit="1" customWidth="1"/>
    <col min="9" max="9" width="15.5" bestFit="1" customWidth="1"/>
    <col min="10" max="10" width="14.83203125" bestFit="1" customWidth="1"/>
    <col min="11" max="11" width="1.83203125" customWidth="1"/>
    <col min="12" max="12" width="19.83203125" bestFit="1" customWidth="1"/>
    <col min="13" max="13" width="21.1640625" bestFit="1" customWidth="1"/>
    <col min="14" max="14" width="14.33203125" bestFit="1" customWidth="1"/>
    <col min="15" max="15" width="12.6640625" bestFit="1" customWidth="1"/>
    <col min="16" max="16" width="1.83203125" customWidth="1"/>
    <col min="17" max="17" width="19" bestFit="1" customWidth="1"/>
    <col min="18" max="18" width="21" bestFit="1" customWidth="1"/>
    <col min="19" max="19" width="29.33203125" customWidth="1"/>
    <col min="20" max="20" width="11.5" customWidth="1"/>
    <col min="21" max="21" width="14.5" customWidth="1"/>
    <col min="22" max="22" width="12.6640625" bestFit="1" customWidth="1"/>
    <col min="23" max="26" width="8.5" customWidth="1"/>
    <col min="27" max="27" width="15" customWidth="1"/>
    <col min="28" max="28" width="13.5" customWidth="1"/>
  </cols>
  <sheetData>
    <row r="1" spans="2:21" ht="15" customHeight="1" thickBot="1">
      <c r="B1" s="1142" t="s">
        <v>541</v>
      </c>
      <c r="C1" s="1143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143"/>
      <c r="P1" s="1143"/>
      <c r="Q1" s="1143"/>
      <c r="R1" s="1143"/>
      <c r="S1" s="1143"/>
      <c r="T1" s="1143"/>
      <c r="U1" s="1144"/>
    </row>
    <row r="2" spans="2:21" ht="15" customHeight="1" thickBot="1">
      <c r="B2" s="297"/>
      <c r="C2" s="1139" t="s">
        <v>521</v>
      </c>
      <c r="D2" s="1140"/>
      <c r="E2" s="1140"/>
      <c r="F2" s="1140"/>
      <c r="G2" s="1140"/>
      <c r="H2" s="1141"/>
      <c r="I2" s="297"/>
      <c r="J2" s="1139" t="s">
        <v>522</v>
      </c>
      <c r="K2" s="1140"/>
      <c r="L2" s="1140"/>
      <c r="M2" s="1140"/>
      <c r="N2" s="1141"/>
      <c r="O2" s="297"/>
      <c r="P2" s="297"/>
      <c r="Q2" s="1139" t="s">
        <v>522</v>
      </c>
      <c r="R2" s="1140"/>
      <c r="S2" s="1140"/>
      <c r="T2" s="1140"/>
      <c r="U2" s="1141"/>
    </row>
    <row r="3" spans="2:21" ht="15" customHeight="1">
      <c r="B3" s="293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</row>
    <row r="4" spans="2:21" ht="15" customHeight="1">
      <c r="C4" s="299" t="s">
        <v>17</v>
      </c>
      <c r="D4" s="299" t="s">
        <v>515</v>
      </c>
      <c r="E4" s="299" t="s">
        <v>516</v>
      </c>
      <c r="F4" s="299" t="s">
        <v>144</v>
      </c>
      <c r="G4" s="299" t="s">
        <v>517</v>
      </c>
      <c r="H4" s="299" t="s">
        <v>149</v>
      </c>
      <c r="I4" s="299"/>
      <c r="J4" s="299" t="s">
        <v>519</v>
      </c>
      <c r="K4" s="299"/>
      <c r="L4" s="299" t="s">
        <v>518</v>
      </c>
      <c r="M4" s="299" t="s">
        <v>520</v>
      </c>
      <c r="N4" s="299" t="s">
        <v>70</v>
      </c>
      <c r="O4" s="299"/>
      <c r="P4" s="299"/>
      <c r="Q4" s="299" t="s">
        <v>523</v>
      </c>
      <c r="R4" s="299" t="s">
        <v>524</v>
      </c>
      <c r="S4" s="299" t="s">
        <v>525</v>
      </c>
    </row>
    <row r="5" spans="2:21" ht="15" customHeight="1">
      <c r="B5" s="293" t="s">
        <v>527</v>
      </c>
    </row>
    <row r="6" spans="2:21" ht="15" customHeight="1">
      <c r="B6" s="293"/>
    </row>
    <row r="7" spans="2:21" ht="15" customHeight="1">
      <c r="B7" s="293" t="s">
        <v>165</v>
      </c>
      <c r="C7" s="286">
        <f>C223</f>
        <v>4000</v>
      </c>
      <c r="D7" s="286">
        <f>C224</f>
        <v>12</v>
      </c>
      <c r="E7" s="286">
        <f>C225</f>
        <v>24</v>
      </c>
      <c r="F7" s="286">
        <f>D7*C7</f>
        <v>48000</v>
      </c>
      <c r="G7" s="286">
        <f>C226</f>
        <v>10</v>
      </c>
      <c r="H7" s="286">
        <f>C7*D7*E7*G7</f>
        <v>11520000</v>
      </c>
      <c r="I7" s="297"/>
      <c r="J7" s="287">
        <v>150</v>
      </c>
      <c r="K7" s="287"/>
      <c r="L7" s="287" t="e">
        <f>J7*$S$210</f>
        <v>#REF!</v>
      </c>
      <c r="M7" s="287" t="e">
        <f>L7*D7</f>
        <v>#REF!</v>
      </c>
      <c r="N7" s="287" t="e">
        <f>M7*C7</f>
        <v>#REF!</v>
      </c>
      <c r="Q7" s="287" t="e">
        <f>ROUND(((L7*(D7*C7))/H7)*$S$211,2)</f>
        <v>#REF!</v>
      </c>
      <c r="R7" s="287" t="e">
        <f>H7*Q7</f>
        <v>#REF!</v>
      </c>
      <c r="S7" s="291" t="e">
        <f>N7-R7</f>
        <v>#REF!</v>
      </c>
    </row>
    <row r="8" spans="2:21" ht="15" customHeight="1">
      <c r="B8" s="293" t="s">
        <v>234</v>
      </c>
      <c r="C8" s="286">
        <f>C242</f>
        <v>2000</v>
      </c>
      <c r="D8" s="286">
        <f>C243</f>
        <v>20</v>
      </c>
      <c r="E8" s="286">
        <f>C244</f>
        <v>4</v>
      </c>
      <c r="F8" s="286">
        <f>D8*C8</f>
        <v>40000</v>
      </c>
      <c r="G8" s="286">
        <f>C245</f>
        <v>12</v>
      </c>
      <c r="H8" s="286">
        <f>C8*D8*E8*G8</f>
        <v>1920000</v>
      </c>
      <c r="I8" s="297"/>
      <c r="J8" s="287">
        <f>E248</f>
        <v>30</v>
      </c>
      <c r="K8" s="298"/>
      <c r="L8" s="287" t="e">
        <f>J8*$S$210</f>
        <v>#REF!</v>
      </c>
      <c r="M8" s="287" t="e">
        <f>L8*D8</f>
        <v>#REF!</v>
      </c>
      <c r="N8" s="287" t="e">
        <f>M8*C8</f>
        <v>#REF!</v>
      </c>
      <c r="Q8" s="287" t="e">
        <f>ROUND(((L8*(D8*C8))/H8)*$S$211,2)</f>
        <v>#REF!</v>
      </c>
      <c r="R8" s="287" t="e">
        <f>H8*Q8</f>
        <v>#REF!</v>
      </c>
      <c r="S8" s="291" t="e">
        <f>N8-R8</f>
        <v>#REF!</v>
      </c>
    </row>
    <row r="9" spans="2:21" ht="15" customHeight="1" thickBot="1">
      <c r="B9" s="293" t="s">
        <v>526</v>
      </c>
      <c r="C9" s="292">
        <f>SUM(C7:C8)</f>
        <v>6000</v>
      </c>
      <c r="D9" s="292">
        <f>SUM(D7:D8)</f>
        <v>32</v>
      </c>
      <c r="E9" s="292">
        <f>SUM(E7:E8)</f>
        <v>28</v>
      </c>
      <c r="F9" s="292">
        <f t="shared" ref="F9:S9" si="0">SUM(F7:F8)</f>
        <v>88000</v>
      </c>
      <c r="G9" s="292">
        <f t="shared" si="0"/>
        <v>22</v>
      </c>
      <c r="H9" s="292">
        <f t="shared" si="0"/>
        <v>13440000</v>
      </c>
      <c r="I9" s="294"/>
      <c r="J9" s="295">
        <f t="shared" si="0"/>
        <v>180</v>
      </c>
      <c r="K9" s="296"/>
      <c r="L9" s="295" t="e">
        <f t="shared" si="0"/>
        <v>#REF!</v>
      </c>
      <c r="M9" s="295" t="e">
        <f t="shared" si="0"/>
        <v>#REF!</v>
      </c>
      <c r="N9" s="295" t="e">
        <f t="shared" si="0"/>
        <v>#REF!</v>
      </c>
      <c r="O9" s="296"/>
      <c r="P9" s="296"/>
      <c r="Q9" s="296"/>
      <c r="R9" s="295" t="e">
        <f t="shared" si="0"/>
        <v>#REF!</v>
      </c>
      <c r="S9" s="295" t="e">
        <f t="shared" si="0"/>
        <v>#REF!</v>
      </c>
    </row>
    <row r="10" spans="2:21" ht="15" customHeight="1" thickTop="1">
      <c r="B10" s="293"/>
      <c r="C10" s="305" t="s">
        <v>538</v>
      </c>
      <c r="D10" s="286">
        <f>(C7*D7)+(C8*D8)</f>
        <v>88000</v>
      </c>
      <c r="I10" s="297"/>
      <c r="K10" s="297"/>
      <c r="O10" s="297"/>
      <c r="P10" s="297"/>
      <c r="Q10" s="297"/>
    </row>
    <row r="11" spans="2:21" ht="15" customHeight="1">
      <c r="B11" s="293" t="s">
        <v>528</v>
      </c>
      <c r="I11" s="297"/>
      <c r="K11" s="297"/>
      <c r="O11" s="297"/>
      <c r="P11" s="297"/>
      <c r="Q11" s="297"/>
    </row>
    <row r="12" spans="2:21" ht="15" customHeight="1">
      <c r="B12" s="293"/>
      <c r="I12" s="297"/>
      <c r="K12" s="297"/>
      <c r="O12" s="297"/>
      <c r="P12" s="297"/>
      <c r="Q12" s="297"/>
    </row>
    <row r="13" spans="2:21" ht="15" customHeight="1">
      <c r="B13" s="293" t="s">
        <v>558</v>
      </c>
      <c r="C13">
        <f>H223</f>
        <v>3000</v>
      </c>
      <c r="D13">
        <f>H224</f>
        <v>12</v>
      </c>
      <c r="E13">
        <f>H225</f>
        <v>12</v>
      </c>
      <c r="F13" s="286">
        <f>D13*C13</f>
        <v>36000</v>
      </c>
      <c r="G13">
        <f>H226</f>
        <v>12</v>
      </c>
      <c r="H13" s="286">
        <f t="shared" ref="H13:H14" si="1">C13*D13*E13*G13</f>
        <v>5184000</v>
      </c>
      <c r="I13" s="297"/>
      <c r="J13" s="290">
        <f>J229</f>
        <v>350</v>
      </c>
      <c r="K13" s="297"/>
      <c r="L13" s="287" t="e">
        <f>J13*$S$210</f>
        <v>#REF!</v>
      </c>
      <c r="M13" s="287" t="e">
        <f>L13*D13</f>
        <v>#REF!</v>
      </c>
      <c r="N13" s="287" t="e">
        <f>M13*C13</f>
        <v>#REF!</v>
      </c>
      <c r="O13" s="297"/>
      <c r="P13" s="297"/>
      <c r="Q13" s="298" t="e">
        <f>ROUND(((L13*(D13*C13))/H13)*$S$212,2)</f>
        <v>#REF!</v>
      </c>
      <c r="R13" s="287" t="e">
        <f t="shared" ref="R13:R14" si="2">H13*Q13</f>
        <v>#REF!</v>
      </c>
      <c r="S13" s="291" t="e">
        <f>N13-R13</f>
        <v>#REF!</v>
      </c>
    </row>
    <row r="14" spans="2:21" ht="15" customHeight="1">
      <c r="B14" s="293" t="s">
        <v>559</v>
      </c>
      <c r="C14">
        <f>H242</f>
        <v>2000</v>
      </c>
      <c r="D14">
        <f>H243</f>
        <v>20</v>
      </c>
      <c r="E14">
        <f>H244</f>
        <v>4</v>
      </c>
      <c r="F14" s="286">
        <f>D14*C14</f>
        <v>40000</v>
      </c>
      <c r="G14">
        <f>H245</f>
        <v>8</v>
      </c>
      <c r="H14" s="286">
        <f t="shared" si="1"/>
        <v>1280000</v>
      </c>
      <c r="I14" s="297"/>
      <c r="J14" s="290">
        <f>J248</f>
        <v>30</v>
      </c>
      <c r="K14" s="297"/>
      <c r="L14" s="287" t="e">
        <f>J14*$S$210</f>
        <v>#REF!</v>
      </c>
      <c r="M14" s="287" t="e">
        <f>L14*D14</f>
        <v>#REF!</v>
      </c>
      <c r="N14" s="287" t="e">
        <f>M14*C14</f>
        <v>#REF!</v>
      </c>
      <c r="O14" s="297"/>
      <c r="P14" s="297"/>
      <c r="Q14" s="298" t="e">
        <f>ROUND(((L14*(D14*C14))/H14)*$S$212,2)</f>
        <v>#REF!</v>
      </c>
      <c r="R14" s="287" t="e">
        <f t="shared" si="2"/>
        <v>#REF!</v>
      </c>
      <c r="S14" s="291" t="e">
        <f>N14-R14</f>
        <v>#REF!</v>
      </c>
    </row>
    <row r="15" spans="2:21" ht="15" customHeight="1" thickBot="1">
      <c r="B15" s="293" t="s">
        <v>526</v>
      </c>
      <c r="C15" s="292">
        <f>SUM(C13:C14)</f>
        <v>5000</v>
      </c>
      <c r="D15" s="292">
        <f>SUM(D13:D14)</f>
        <v>32</v>
      </c>
      <c r="E15" s="292">
        <f>SUM(E13:E14)</f>
        <v>16</v>
      </c>
      <c r="F15" s="292">
        <f t="shared" ref="F15:H15" si="3">SUM(F13:F14)</f>
        <v>76000</v>
      </c>
      <c r="G15" s="292">
        <f t="shared" si="3"/>
        <v>20</v>
      </c>
      <c r="H15" s="292">
        <f t="shared" si="3"/>
        <v>6464000</v>
      </c>
      <c r="I15" s="294"/>
      <c r="J15" s="295">
        <f t="shared" ref="J15" si="4">SUM(J13:J14)</f>
        <v>380</v>
      </c>
      <c r="K15" s="296"/>
      <c r="L15" s="295" t="e">
        <f t="shared" ref="L15:N15" si="5">SUM(L13:L14)</f>
        <v>#REF!</v>
      </c>
      <c r="M15" s="295" t="e">
        <f t="shared" si="5"/>
        <v>#REF!</v>
      </c>
      <c r="N15" s="295" t="e">
        <f t="shared" si="5"/>
        <v>#REF!</v>
      </c>
      <c r="O15" s="296"/>
      <c r="P15" s="296"/>
      <c r="Q15" s="296"/>
      <c r="R15" s="295" t="e">
        <f t="shared" ref="R15:S15" si="6">SUM(R13:R14)</f>
        <v>#REF!</v>
      </c>
      <c r="S15" s="295" t="e">
        <f t="shared" si="6"/>
        <v>#REF!</v>
      </c>
    </row>
    <row r="16" spans="2:21" ht="15" customHeight="1" thickTop="1">
      <c r="B16" s="293"/>
      <c r="C16" s="305" t="s">
        <v>538</v>
      </c>
      <c r="D16" s="286">
        <f>(C13*D13)+(C14*D14)</f>
        <v>76000</v>
      </c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</row>
    <row r="17" spans="2:21" ht="15" customHeight="1">
      <c r="B17" s="293" t="s">
        <v>529</v>
      </c>
      <c r="I17" s="297"/>
      <c r="K17" s="297"/>
      <c r="O17" s="297"/>
      <c r="P17" s="297"/>
      <c r="Q17" s="297"/>
    </row>
    <row r="18" spans="2:21" ht="15" customHeight="1">
      <c r="B18" s="293"/>
      <c r="F18" s="286"/>
      <c r="I18" s="297"/>
      <c r="K18" s="297"/>
      <c r="O18" s="297"/>
      <c r="P18" s="297"/>
      <c r="Q18" s="297"/>
    </row>
    <row r="19" spans="2:21" ht="15" customHeight="1">
      <c r="B19" s="293" t="s">
        <v>560</v>
      </c>
      <c r="C19">
        <f>M223</f>
        <v>500</v>
      </c>
      <c r="D19">
        <f>M224</f>
        <v>4</v>
      </c>
      <c r="E19">
        <f>M225</f>
        <v>1</v>
      </c>
      <c r="F19" s="286">
        <f>D19*C19</f>
        <v>2000</v>
      </c>
      <c r="G19">
        <f>M226</f>
        <v>10</v>
      </c>
      <c r="H19" s="286">
        <f>C19*D19*E19*G19</f>
        <v>20000</v>
      </c>
      <c r="I19" s="297"/>
      <c r="J19" s="290">
        <f>O229</f>
        <v>500</v>
      </c>
      <c r="K19" s="297"/>
      <c r="L19" s="287" t="e">
        <f>J19*$S$210</f>
        <v>#REF!</v>
      </c>
      <c r="M19" s="287" t="e">
        <f>L19*D19</f>
        <v>#REF!</v>
      </c>
      <c r="N19" s="287" t="e">
        <f>M19*C19</f>
        <v>#REF!</v>
      </c>
      <c r="O19" s="297"/>
      <c r="P19" s="297"/>
      <c r="Q19" s="298" t="e">
        <f>ROUND(((L19*(D19*C19))/H19)*$S$213,2)</f>
        <v>#REF!</v>
      </c>
      <c r="R19" s="287" t="e">
        <f>H19*Q19</f>
        <v>#REF!</v>
      </c>
      <c r="S19" s="291" t="e">
        <f>N19-R19</f>
        <v>#REF!</v>
      </c>
    </row>
    <row r="20" spans="2:21" ht="15" customHeight="1" thickBot="1">
      <c r="B20" s="293" t="s">
        <v>526</v>
      </c>
      <c r="C20" s="292">
        <f>SUM(C18:C19)</f>
        <v>500</v>
      </c>
      <c r="D20" s="292">
        <f>SUM(D18:D19)</f>
        <v>4</v>
      </c>
      <c r="E20" s="292">
        <f>SUM(E18:E19)</f>
        <v>1</v>
      </c>
      <c r="F20" s="292">
        <f t="shared" ref="F20:H20" si="7">SUM(F18:F19)</f>
        <v>2000</v>
      </c>
      <c r="G20" s="292">
        <f t="shared" si="7"/>
        <v>10</v>
      </c>
      <c r="H20" s="292">
        <f t="shared" si="7"/>
        <v>20000</v>
      </c>
      <c r="I20" s="294"/>
      <c r="J20" s="295">
        <f t="shared" ref="J20" si="8">SUM(J18:J19)</f>
        <v>500</v>
      </c>
      <c r="K20" s="296"/>
      <c r="L20" s="295" t="e">
        <f t="shared" ref="L20:N20" si="9">SUM(L18:L19)</f>
        <v>#REF!</v>
      </c>
      <c r="M20" s="295" t="e">
        <f t="shared" si="9"/>
        <v>#REF!</v>
      </c>
      <c r="N20" s="295" t="e">
        <f t="shared" si="9"/>
        <v>#REF!</v>
      </c>
      <c r="O20" s="296"/>
      <c r="P20" s="296"/>
      <c r="Q20" s="296"/>
      <c r="R20" s="295" t="e">
        <f t="shared" ref="R20:S20" si="10">SUM(R18:R19)</f>
        <v>#REF!</v>
      </c>
      <c r="S20" s="295" t="e">
        <f t="shared" si="10"/>
        <v>#REF!</v>
      </c>
    </row>
    <row r="21" spans="2:21" ht="15" customHeight="1" thickTop="1" thickBot="1">
      <c r="C21" s="305"/>
      <c r="D21" s="286"/>
      <c r="E21" t="s">
        <v>144</v>
      </c>
      <c r="F21" s="288">
        <f>F9+F15+F20</f>
        <v>166000</v>
      </c>
      <c r="H21" s="286"/>
      <c r="I21" s="297"/>
      <c r="J21" s="290"/>
      <c r="K21" s="297"/>
      <c r="L21" s="287"/>
      <c r="M21" s="304" t="s">
        <v>530</v>
      </c>
      <c r="N21" s="291" t="e">
        <f>(N9+N15+N20)/3</f>
        <v>#REF!</v>
      </c>
      <c r="R21" s="304" t="s">
        <v>530</v>
      </c>
      <c r="S21" s="291" t="e">
        <f>(S9+S15+S20)/3</f>
        <v>#REF!</v>
      </c>
    </row>
    <row r="22" spans="2:21" ht="15" customHeight="1" thickBot="1">
      <c r="C22" s="305"/>
      <c r="D22" s="286"/>
      <c r="H22" s="286"/>
      <c r="I22" s="297"/>
      <c r="J22" s="290"/>
      <c r="K22" s="297"/>
      <c r="L22" s="287"/>
      <c r="M22" s="287"/>
      <c r="N22" s="300"/>
      <c r="O22" s="291"/>
      <c r="S22" s="303" t="e">
        <f>S9+S15+S20</f>
        <v>#REF!</v>
      </c>
    </row>
    <row r="23" spans="2:21" ht="15" customHeight="1">
      <c r="H23" s="286"/>
      <c r="I23" s="297"/>
      <c r="J23" s="290"/>
      <c r="K23" s="297"/>
      <c r="L23" s="287"/>
      <c r="M23" s="287"/>
      <c r="N23" s="300"/>
      <c r="O23" s="291"/>
    </row>
    <row r="24" spans="2:21" ht="15" customHeight="1" thickBot="1">
      <c r="H24" s="286"/>
      <c r="I24" s="297"/>
      <c r="J24" s="290"/>
      <c r="K24" s="297"/>
      <c r="L24" s="287"/>
      <c r="M24" s="287"/>
      <c r="N24" s="300"/>
      <c r="O24" s="291"/>
    </row>
    <row r="25" spans="2:21" ht="15" customHeight="1" thickBot="1">
      <c r="B25" s="1142" t="s">
        <v>542</v>
      </c>
      <c r="C25" s="1143"/>
      <c r="D25" s="1143"/>
      <c r="E25" s="1143"/>
      <c r="F25" s="1143"/>
      <c r="G25" s="1143"/>
      <c r="H25" s="1143"/>
      <c r="I25" s="1143"/>
      <c r="J25" s="1143"/>
      <c r="K25" s="1143"/>
      <c r="L25" s="1143"/>
      <c r="M25" s="1143"/>
      <c r="N25" s="1143"/>
      <c r="O25" s="1143"/>
      <c r="P25" s="1143"/>
      <c r="Q25" s="1143"/>
      <c r="R25" s="1143"/>
      <c r="S25" s="1143"/>
      <c r="T25" s="1143"/>
      <c r="U25" s="1144"/>
    </row>
    <row r="26" spans="2:21" ht="15" customHeight="1" thickBot="1">
      <c r="B26" s="297"/>
      <c r="C26" s="1139" t="s">
        <v>521</v>
      </c>
      <c r="D26" s="1140"/>
      <c r="E26" s="1140"/>
      <c r="F26" s="1140"/>
      <c r="G26" s="1140"/>
      <c r="H26" s="1141"/>
      <c r="I26" s="297"/>
      <c r="J26" s="1139" t="s">
        <v>522</v>
      </c>
      <c r="K26" s="1140"/>
      <c r="L26" s="1140"/>
      <c r="M26" s="1140"/>
      <c r="N26" s="1141"/>
      <c r="O26" s="297"/>
      <c r="P26" s="297"/>
      <c r="Q26" s="1139" t="s">
        <v>522</v>
      </c>
      <c r="R26" s="1140"/>
      <c r="S26" s="1140"/>
      <c r="T26" s="1140"/>
      <c r="U26" s="1141"/>
    </row>
    <row r="27" spans="2:21" ht="15" customHeight="1"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</row>
    <row r="28" spans="2:21" ht="15" customHeight="1">
      <c r="C28" s="299" t="s">
        <v>17</v>
      </c>
      <c r="D28" s="299" t="s">
        <v>515</v>
      </c>
      <c r="E28" s="299" t="s">
        <v>516</v>
      </c>
      <c r="F28" s="299"/>
      <c r="G28" s="299" t="s">
        <v>517</v>
      </c>
      <c r="H28" s="299" t="s">
        <v>149</v>
      </c>
      <c r="I28" s="299"/>
      <c r="J28" s="299" t="s">
        <v>519</v>
      </c>
      <c r="K28" s="299"/>
      <c r="L28" s="299" t="s">
        <v>518</v>
      </c>
      <c r="M28" s="299" t="s">
        <v>520</v>
      </c>
      <c r="N28" s="299" t="s">
        <v>70</v>
      </c>
      <c r="O28" s="299"/>
      <c r="P28" s="299"/>
      <c r="Q28" s="299" t="s">
        <v>523</v>
      </c>
      <c r="R28" s="299" t="s">
        <v>524</v>
      </c>
      <c r="S28" s="299" t="s">
        <v>525</v>
      </c>
    </row>
    <row r="29" spans="2:21" ht="15" customHeight="1">
      <c r="B29" s="293" t="s">
        <v>527</v>
      </c>
    </row>
    <row r="30" spans="2:21" ht="15" customHeight="1">
      <c r="B30" s="293"/>
    </row>
    <row r="31" spans="2:21" ht="15" customHeight="1">
      <c r="B31" s="293" t="s">
        <v>165</v>
      </c>
      <c r="C31" s="286">
        <f>C7</f>
        <v>4000</v>
      </c>
      <c r="D31" s="286">
        <f t="shared" ref="D31:G32" si="11">D7</f>
        <v>12</v>
      </c>
      <c r="E31" s="286">
        <f t="shared" si="11"/>
        <v>24</v>
      </c>
      <c r="F31" s="286">
        <f>D31*C31</f>
        <v>48000</v>
      </c>
      <c r="G31" s="286">
        <f>G7</f>
        <v>10</v>
      </c>
      <c r="H31" s="286">
        <f>C31*D31*E31*G31</f>
        <v>11520000</v>
      </c>
      <c r="I31" s="297"/>
      <c r="J31" s="287">
        <f>J7</f>
        <v>150</v>
      </c>
      <c r="K31" s="287"/>
      <c r="L31" s="287" t="e">
        <f>J31*$S$210</f>
        <v>#REF!</v>
      </c>
      <c r="M31" s="287" t="e">
        <f>L31*D31</f>
        <v>#REF!</v>
      </c>
      <c r="N31" s="287" t="e">
        <f>M31*C31</f>
        <v>#REF!</v>
      </c>
      <c r="Q31" s="287" t="e">
        <f>ROUND(((L31*(D31*C31))/H31)*$S$211,2)</f>
        <v>#REF!</v>
      </c>
      <c r="R31" s="287" t="e">
        <f>H31*Q31</f>
        <v>#REF!</v>
      </c>
      <c r="S31" s="291" t="e">
        <f>N31-R31</f>
        <v>#REF!</v>
      </c>
    </row>
    <row r="32" spans="2:21" ht="15" customHeight="1">
      <c r="B32" s="293" t="s">
        <v>234</v>
      </c>
      <c r="C32" s="286">
        <f>C8</f>
        <v>2000</v>
      </c>
      <c r="D32" s="286">
        <f t="shared" si="11"/>
        <v>20</v>
      </c>
      <c r="E32" s="286">
        <f t="shared" si="11"/>
        <v>4</v>
      </c>
      <c r="F32" s="286">
        <f>D32*C32</f>
        <v>40000</v>
      </c>
      <c r="G32" s="286">
        <f t="shared" si="11"/>
        <v>12</v>
      </c>
      <c r="H32" s="286">
        <f>C32*D32*E32*G32</f>
        <v>1920000</v>
      </c>
      <c r="I32" s="297"/>
      <c r="J32" s="287">
        <f>J8</f>
        <v>30</v>
      </c>
      <c r="K32" s="298"/>
      <c r="L32" s="287" t="e">
        <f>J32*$S$210</f>
        <v>#REF!</v>
      </c>
      <c r="M32" s="287" t="e">
        <f>L32*D32</f>
        <v>#REF!</v>
      </c>
      <c r="N32" s="287" t="e">
        <f>M32*C32</f>
        <v>#REF!</v>
      </c>
      <c r="Q32" s="287" t="e">
        <f>ROUND(((L32*(D32*C32))/H32)*$S$211,2)</f>
        <v>#REF!</v>
      </c>
      <c r="R32" s="287" t="e">
        <f>H32*Q32</f>
        <v>#REF!</v>
      </c>
      <c r="S32" s="291" t="e">
        <f>N32-R32</f>
        <v>#REF!</v>
      </c>
    </row>
    <row r="33" spans="2:19" ht="15" customHeight="1" thickBot="1">
      <c r="B33" s="293" t="s">
        <v>526</v>
      </c>
      <c r="C33" s="292">
        <f>SUM(C31:C32)</f>
        <v>6000</v>
      </c>
      <c r="D33" s="292">
        <f>SUM(D31:D32)</f>
        <v>32</v>
      </c>
      <c r="E33" s="292">
        <f>SUM(E31:E32)</f>
        <v>28</v>
      </c>
      <c r="F33" s="292">
        <f t="shared" ref="F33:H33" si="12">SUM(F31:F32)</f>
        <v>88000</v>
      </c>
      <c r="G33" s="292">
        <f t="shared" si="12"/>
        <v>22</v>
      </c>
      <c r="H33" s="292">
        <f t="shared" si="12"/>
        <v>13440000</v>
      </c>
      <c r="I33" s="294"/>
      <c r="J33" s="295">
        <f t="shared" ref="J33" si="13">SUM(J31:J32)</f>
        <v>180</v>
      </c>
      <c r="K33" s="296"/>
      <c r="L33" s="295" t="e">
        <f t="shared" ref="L33:N33" si="14">SUM(L31:L32)</f>
        <v>#REF!</v>
      </c>
      <c r="M33" s="295" t="e">
        <f t="shared" si="14"/>
        <v>#REF!</v>
      </c>
      <c r="N33" s="295" t="e">
        <f t="shared" si="14"/>
        <v>#REF!</v>
      </c>
      <c r="O33" s="296"/>
      <c r="P33" s="296"/>
      <c r="Q33" s="296"/>
      <c r="R33" s="295" t="e">
        <f t="shared" ref="R33:S33" si="15">SUM(R31:R32)</f>
        <v>#REF!</v>
      </c>
      <c r="S33" s="295" t="e">
        <f t="shared" si="15"/>
        <v>#REF!</v>
      </c>
    </row>
    <row r="34" spans="2:19" ht="15" customHeight="1" thickTop="1">
      <c r="B34" s="293"/>
      <c r="C34" s="305" t="s">
        <v>538</v>
      </c>
      <c r="D34" s="286">
        <f>D33*C33</f>
        <v>192000</v>
      </c>
      <c r="I34" s="297"/>
      <c r="K34" s="297"/>
      <c r="O34" s="297"/>
      <c r="P34" s="297"/>
      <c r="Q34" s="297"/>
    </row>
    <row r="35" spans="2:19" ht="15" customHeight="1">
      <c r="B35" s="293" t="s">
        <v>528</v>
      </c>
      <c r="I35" s="297"/>
      <c r="K35" s="297"/>
      <c r="O35" s="297"/>
      <c r="P35" s="297"/>
      <c r="Q35" s="297"/>
    </row>
    <row r="36" spans="2:19" ht="15" customHeight="1">
      <c r="B36" s="293"/>
      <c r="I36" s="297"/>
      <c r="K36" s="297"/>
      <c r="O36" s="297"/>
      <c r="P36" s="297"/>
      <c r="Q36" s="297"/>
    </row>
    <row r="37" spans="2:19" ht="15" customHeight="1">
      <c r="B37" s="293" t="s">
        <v>558</v>
      </c>
      <c r="C37" s="286">
        <f>C13</f>
        <v>3000</v>
      </c>
      <c r="D37" s="286">
        <f t="shared" ref="D37:E38" si="16">D13</f>
        <v>12</v>
      </c>
      <c r="E37" s="286">
        <f t="shared" si="16"/>
        <v>12</v>
      </c>
      <c r="F37" s="286">
        <f>D37*C37</f>
        <v>36000</v>
      </c>
      <c r="G37" s="286">
        <f>G13</f>
        <v>12</v>
      </c>
      <c r="H37" s="286">
        <f t="shared" ref="H37:H38" si="17">C37*D37*E37*G37</f>
        <v>5184000</v>
      </c>
      <c r="I37" s="297"/>
      <c r="J37" s="290">
        <f>J13</f>
        <v>350</v>
      </c>
      <c r="K37" s="297"/>
      <c r="L37" s="287" t="e">
        <f>J37*$S$210</f>
        <v>#REF!</v>
      </c>
      <c r="M37" s="287" t="e">
        <f>L37*D37</f>
        <v>#REF!</v>
      </c>
      <c r="N37" s="287" t="e">
        <f>M37*C37</f>
        <v>#REF!</v>
      </c>
      <c r="O37" s="297"/>
      <c r="P37" s="297"/>
      <c r="Q37" s="298" t="e">
        <f>ROUND(((L37*(D37*C37))/H37)*$S$212,2)</f>
        <v>#REF!</v>
      </c>
      <c r="R37" s="287" t="e">
        <f t="shared" ref="R37:R38" si="18">H37*Q37</f>
        <v>#REF!</v>
      </c>
      <c r="S37" s="291" t="e">
        <f>N37-R37</f>
        <v>#REF!</v>
      </c>
    </row>
    <row r="38" spans="2:19" ht="15" customHeight="1">
      <c r="B38" s="293" t="s">
        <v>559</v>
      </c>
      <c r="C38" s="286">
        <f>C14</f>
        <v>2000</v>
      </c>
      <c r="D38" s="286">
        <f t="shared" si="16"/>
        <v>20</v>
      </c>
      <c r="E38" s="286">
        <f t="shared" si="16"/>
        <v>4</v>
      </c>
      <c r="F38" s="286">
        <f>D38*C38</f>
        <v>40000</v>
      </c>
      <c r="G38" s="286">
        <f t="shared" ref="G38" si="19">G14</f>
        <v>8</v>
      </c>
      <c r="H38" s="286">
        <f t="shared" si="17"/>
        <v>1280000</v>
      </c>
      <c r="I38" s="297"/>
      <c r="J38" s="290">
        <f>J14</f>
        <v>30</v>
      </c>
      <c r="K38" s="297"/>
      <c r="L38" s="287" t="e">
        <f>J38*$S$210</f>
        <v>#REF!</v>
      </c>
      <c r="M38" s="287" t="e">
        <f>L38*D38</f>
        <v>#REF!</v>
      </c>
      <c r="N38" s="287" t="e">
        <f>M38*C38</f>
        <v>#REF!</v>
      </c>
      <c r="O38" s="297"/>
      <c r="P38" s="297"/>
      <c r="Q38" s="298" t="e">
        <f>ROUND(((L38*(D38*C38))/H38)*$S$212,2)</f>
        <v>#REF!</v>
      </c>
      <c r="R38" s="287" t="e">
        <f t="shared" si="18"/>
        <v>#REF!</v>
      </c>
      <c r="S38" s="291" t="e">
        <f>N38-R38</f>
        <v>#REF!</v>
      </c>
    </row>
    <row r="39" spans="2:19" ht="15" customHeight="1" thickBot="1">
      <c r="B39" s="293" t="s">
        <v>526</v>
      </c>
      <c r="C39" s="292">
        <f>SUM(C37:C38)</f>
        <v>5000</v>
      </c>
      <c r="D39" s="292">
        <f>SUM(D37:D38)</f>
        <v>32</v>
      </c>
      <c r="E39" s="292">
        <f>SUM(E37:E38)</f>
        <v>16</v>
      </c>
      <c r="F39" s="292">
        <f t="shared" ref="F39:H39" si="20">SUM(F37:F38)</f>
        <v>76000</v>
      </c>
      <c r="G39" s="292">
        <f t="shared" si="20"/>
        <v>20</v>
      </c>
      <c r="H39" s="292">
        <f t="shared" si="20"/>
        <v>6464000</v>
      </c>
      <c r="I39" s="294"/>
      <c r="J39" s="295">
        <f t="shared" ref="J39" si="21">SUM(J37:J38)</f>
        <v>380</v>
      </c>
      <c r="K39" s="296"/>
      <c r="L39" s="295" t="e">
        <f t="shared" ref="L39:N39" si="22">SUM(L37:L38)</f>
        <v>#REF!</v>
      </c>
      <c r="M39" s="295" t="e">
        <f t="shared" si="22"/>
        <v>#REF!</v>
      </c>
      <c r="N39" s="295" t="e">
        <f t="shared" si="22"/>
        <v>#REF!</v>
      </c>
      <c r="O39" s="296"/>
      <c r="P39" s="296"/>
      <c r="Q39" s="296"/>
      <c r="R39" s="295" t="e">
        <f t="shared" ref="R39:S39" si="23">SUM(R37:R38)</f>
        <v>#REF!</v>
      </c>
      <c r="S39" s="295" t="e">
        <f t="shared" si="23"/>
        <v>#REF!</v>
      </c>
    </row>
    <row r="40" spans="2:19" ht="15" customHeight="1" thickTop="1">
      <c r="B40" s="293"/>
      <c r="C40" s="305" t="s">
        <v>538</v>
      </c>
      <c r="D40" s="306">
        <f>D39*C39</f>
        <v>160000</v>
      </c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</row>
    <row r="41" spans="2:19" ht="15" customHeight="1">
      <c r="B41" s="293" t="s">
        <v>529</v>
      </c>
      <c r="I41" s="297"/>
      <c r="K41" s="297"/>
      <c r="O41" s="297"/>
      <c r="P41" s="297"/>
      <c r="Q41" s="297"/>
    </row>
    <row r="42" spans="2:19" ht="15" customHeight="1">
      <c r="B42" s="293"/>
      <c r="F42" s="286"/>
      <c r="I42" s="297"/>
      <c r="K42" s="297"/>
      <c r="O42" s="297"/>
      <c r="P42" s="297"/>
      <c r="Q42" s="297"/>
    </row>
    <row r="43" spans="2:19" ht="15" customHeight="1">
      <c r="B43" s="293" t="s">
        <v>560</v>
      </c>
      <c r="C43">
        <f>C19</f>
        <v>500</v>
      </c>
      <c r="D43">
        <f t="shared" ref="D43:G43" si="24">D19</f>
        <v>4</v>
      </c>
      <c r="E43">
        <f t="shared" si="24"/>
        <v>1</v>
      </c>
      <c r="F43" s="286">
        <f>D43*C43</f>
        <v>2000</v>
      </c>
      <c r="G43">
        <f t="shared" si="24"/>
        <v>10</v>
      </c>
      <c r="H43" s="286">
        <f>C43*D43*E43*G43</f>
        <v>20000</v>
      </c>
      <c r="I43" s="297"/>
      <c r="J43" s="290">
        <f>J19</f>
        <v>500</v>
      </c>
      <c r="K43" s="297"/>
      <c r="L43" s="287" t="e">
        <f>J43*$S$210</f>
        <v>#REF!</v>
      </c>
      <c r="M43" s="287" t="e">
        <f>L43*D43</f>
        <v>#REF!</v>
      </c>
      <c r="N43" s="287" t="e">
        <f>M43*C43</f>
        <v>#REF!</v>
      </c>
      <c r="O43" s="297"/>
      <c r="P43" s="297"/>
      <c r="Q43" s="298" t="e">
        <f>ROUND(((L43*(D43*C43))/H43)*$S$213,2)</f>
        <v>#REF!</v>
      </c>
      <c r="R43" s="287" t="e">
        <f>H43*Q43</f>
        <v>#REF!</v>
      </c>
      <c r="S43" s="291" t="e">
        <f>N43-R43</f>
        <v>#REF!</v>
      </c>
    </row>
    <row r="44" spans="2:19" ht="15" customHeight="1" thickBot="1">
      <c r="B44" s="293" t="s">
        <v>526</v>
      </c>
      <c r="C44" s="292">
        <f>SUM(C42:C43)</f>
        <v>500</v>
      </c>
      <c r="D44" s="292">
        <f>SUM(D42:D43)</f>
        <v>4</v>
      </c>
      <c r="E44" s="292">
        <f>SUM(E42:E43)</f>
        <v>1</v>
      </c>
      <c r="F44" s="292">
        <f t="shared" ref="F44:H44" si="25">SUM(F42:F43)</f>
        <v>2000</v>
      </c>
      <c r="G44" s="292">
        <f t="shared" si="25"/>
        <v>10</v>
      </c>
      <c r="H44" s="292">
        <f t="shared" si="25"/>
        <v>20000</v>
      </c>
      <c r="I44" s="294"/>
      <c r="J44" s="295">
        <f t="shared" ref="J44" si="26">SUM(J42:J43)</f>
        <v>500</v>
      </c>
      <c r="K44" s="296"/>
      <c r="L44" s="295" t="e">
        <f t="shared" ref="L44:N44" si="27">SUM(L42:L43)</f>
        <v>#REF!</v>
      </c>
      <c r="M44" s="295" t="e">
        <f t="shared" si="27"/>
        <v>#REF!</v>
      </c>
      <c r="N44" s="295" t="e">
        <f t="shared" si="27"/>
        <v>#REF!</v>
      </c>
      <c r="O44" s="296"/>
      <c r="P44" s="296"/>
      <c r="Q44" s="296"/>
      <c r="R44" s="295" t="e">
        <f t="shared" ref="R44:S44" si="28">SUM(R42:R43)</f>
        <v>#REF!</v>
      </c>
      <c r="S44" s="295" t="e">
        <f t="shared" si="28"/>
        <v>#REF!</v>
      </c>
    </row>
    <row r="45" spans="2:19" ht="15" customHeight="1" thickTop="1">
      <c r="C45" s="305" t="s">
        <v>538</v>
      </c>
      <c r="D45" s="286">
        <f>D44*C44</f>
        <v>2000</v>
      </c>
      <c r="H45" s="286"/>
      <c r="I45" s="297"/>
      <c r="J45" s="290"/>
      <c r="K45" s="297"/>
      <c r="L45" s="287"/>
      <c r="M45" s="304"/>
      <c r="N45" s="291"/>
      <c r="R45" s="304"/>
      <c r="S45" s="291"/>
    </row>
    <row r="46" spans="2:19" ht="15" customHeight="1">
      <c r="B46" s="293" t="s">
        <v>550</v>
      </c>
      <c r="I46" s="297"/>
      <c r="K46" s="297"/>
      <c r="O46" s="297"/>
      <c r="P46" s="297"/>
      <c r="Q46" s="297"/>
    </row>
    <row r="47" spans="2:19" ht="15" customHeight="1">
      <c r="B47" s="293"/>
      <c r="I47" s="297"/>
      <c r="K47" s="297"/>
      <c r="O47" s="297"/>
      <c r="P47" s="297"/>
      <c r="Q47" s="297"/>
    </row>
    <row r="48" spans="2:19" ht="15" customHeight="1">
      <c r="B48" s="293" t="s">
        <v>561</v>
      </c>
      <c r="C48" s="286">
        <f t="shared" ref="C48:E49" si="29">C37</f>
        <v>3000</v>
      </c>
      <c r="D48" s="286">
        <f t="shared" si="29"/>
        <v>12</v>
      </c>
      <c r="E48" s="286">
        <f t="shared" si="29"/>
        <v>12</v>
      </c>
      <c r="F48" s="286">
        <f>D48*C48</f>
        <v>36000</v>
      </c>
      <c r="G48" s="286">
        <f>G37</f>
        <v>12</v>
      </c>
      <c r="H48" s="286">
        <f t="shared" ref="H48:H49" si="30">C48*D48*E48*G48</f>
        <v>5184000</v>
      </c>
      <c r="I48" s="297"/>
      <c r="J48" s="290">
        <f>J37</f>
        <v>350</v>
      </c>
      <c r="K48" s="297"/>
      <c r="L48" s="287" t="e">
        <f>J48*$S$210</f>
        <v>#REF!</v>
      </c>
      <c r="M48" s="287" t="e">
        <f>L48*D48</f>
        <v>#REF!</v>
      </c>
      <c r="N48" s="287" t="e">
        <f>M48*C48</f>
        <v>#REF!</v>
      </c>
      <c r="O48" s="297"/>
      <c r="P48" s="297"/>
      <c r="Q48" s="298" t="e">
        <f>ROUND(((L48*(D48*C48))/H48)*$S$212,2)</f>
        <v>#REF!</v>
      </c>
      <c r="R48" s="287" t="e">
        <f t="shared" ref="R48:R49" si="31">H48*Q48</f>
        <v>#REF!</v>
      </c>
      <c r="S48" s="291" t="e">
        <f>N48-R48</f>
        <v>#REF!</v>
      </c>
    </row>
    <row r="49" spans="2:21" ht="15" customHeight="1">
      <c r="B49" s="293" t="s">
        <v>562</v>
      </c>
      <c r="C49" s="286">
        <f t="shared" si="29"/>
        <v>2000</v>
      </c>
      <c r="D49" s="286">
        <f t="shared" si="29"/>
        <v>20</v>
      </c>
      <c r="E49" s="286">
        <f t="shared" si="29"/>
        <v>4</v>
      </c>
      <c r="F49" s="286">
        <f>D49*C49</f>
        <v>40000</v>
      </c>
      <c r="G49" s="286">
        <f>G38</f>
        <v>8</v>
      </c>
      <c r="H49" s="286">
        <f t="shared" si="30"/>
        <v>1280000</v>
      </c>
      <c r="I49" s="297"/>
      <c r="J49" s="290">
        <f>J38</f>
        <v>30</v>
      </c>
      <c r="K49" s="297"/>
      <c r="L49" s="287" t="e">
        <f>J49*$S$210</f>
        <v>#REF!</v>
      </c>
      <c r="M49" s="287" t="e">
        <f>L49*D49</f>
        <v>#REF!</v>
      </c>
      <c r="N49" s="287" t="e">
        <f>M49*C49</f>
        <v>#REF!</v>
      </c>
      <c r="O49" s="297"/>
      <c r="P49" s="297"/>
      <c r="Q49" s="298" t="e">
        <f>ROUND(((L49*(D49*C49))/H49)*$S$212,2)</f>
        <v>#REF!</v>
      </c>
      <c r="R49" s="287" t="e">
        <f t="shared" si="31"/>
        <v>#REF!</v>
      </c>
      <c r="S49" s="291" t="e">
        <f>N49-R49</f>
        <v>#REF!</v>
      </c>
    </row>
    <row r="50" spans="2:21" ht="15" customHeight="1" thickBot="1">
      <c r="B50" s="293" t="s">
        <v>526</v>
      </c>
      <c r="C50" s="292">
        <f>SUM(C48:C49)</f>
        <v>5000</v>
      </c>
      <c r="D50" s="292">
        <f>SUM(D48:D49)</f>
        <v>32</v>
      </c>
      <c r="E50" s="292">
        <f>SUM(E48:E49)</f>
        <v>16</v>
      </c>
      <c r="F50" s="292">
        <f t="shared" ref="F50:H50" si="32">SUM(F48:F49)</f>
        <v>76000</v>
      </c>
      <c r="G50" s="292">
        <f t="shared" si="32"/>
        <v>20</v>
      </c>
      <c r="H50" s="292">
        <f t="shared" si="32"/>
        <v>6464000</v>
      </c>
      <c r="I50" s="294"/>
      <c r="J50" s="295">
        <f t="shared" ref="J50" si="33">SUM(J48:J49)</f>
        <v>380</v>
      </c>
      <c r="K50" s="296"/>
      <c r="L50" s="295" t="e">
        <f t="shared" ref="L50:N50" si="34">SUM(L48:L49)</f>
        <v>#REF!</v>
      </c>
      <c r="M50" s="295" t="e">
        <f t="shared" si="34"/>
        <v>#REF!</v>
      </c>
      <c r="N50" s="295" t="e">
        <f t="shared" si="34"/>
        <v>#REF!</v>
      </c>
      <c r="O50" s="296"/>
      <c r="P50" s="296"/>
      <c r="Q50" s="296"/>
      <c r="R50" s="295" t="e">
        <f t="shared" ref="R50:S50" si="35">SUM(R48:R49)</f>
        <v>#REF!</v>
      </c>
      <c r="S50" s="295" t="e">
        <f t="shared" si="35"/>
        <v>#REF!</v>
      </c>
    </row>
    <row r="51" spans="2:21" ht="15" customHeight="1" thickTop="1" thickBot="1">
      <c r="C51" s="305"/>
      <c r="D51" s="286"/>
      <c r="E51" t="s">
        <v>144</v>
      </c>
      <c r="F51" s="288">
        <f>F33+F39+F44+F50</f>
        <v>242000</v>
      </c>
      <c r="H51" s="286"/>
      <c r="I51" s="297"/>
      <c r="J51" s="290"/>
      <c r="K51" s="297"/>
      <c r="L51" s="287"/>
      <c r="M51" s="304" t="s">
        <v>530</v>
      </c>
      <c r="N51" s="291" t="e">
        <f>(N33+N39+N44+N50)/4</f>
        <v>#REF!</v>
      </c>
      <c r="R51" s="304" t="s">
        <v>530</v>
      </c>
      <c r="S51" s="291" t="e">
        <f>(S33+S39+S44+S50)/4</f>
        <v>#REF!</v>
      </c>
    </row>
    <row r="52" spans="2:21" ht="15" customHeight="1" thickBot="1">
      <c r="C52" s="305"/>
      <c r="D52" s="286"/>
      <c r="H52" s="286"/>
      <c r="I52" s="297"/>
      <c r="J52" s="290"/>
      <c r="K52" s="297"/>
      <c r="L52" s="287"/>
      <c r="M52" s="287"/>
      <c r="N52" s="300"/>
      <c r="O52" s="291"/>
      <c r="S52" s="303" t="e">
        <f>S39+S45+S50+S33</f>
        <v>#REF!</v>
      </c>
    </row>
    <row r="53" spans="2:21" ht="15" customHeight="1" thickBot="1">
      <c r="H53" s="286"/>
      <c r="I53" s="297"/>
      <c r="J53" s="290"/>
      <c r="K53" s="297"/>
      <c r="L53" s="287"/>
      <c r="M53" s="287"/>
      <c r="N53" s="300"/>
      <c r="O53" s="291"/>
    </row>
    <row r="54" spans="2:21" ht="15" customHeight="1" thickBot="1">
      <c r="B54" s="1142" t="s">
        <v>543</v>
      </c>
      <c r="C54" s="1143"/>
      <c r="D54" s="1143"/>
      <c r="E54" s="1143"/>
      <c r="F54" s="1143"/>
      <c r="G54" s="1143"/>
      <c r="H54" s="1143"/>
      <c r="I54" s="1143"/>
      <c r="J54" s="1143"/>
      <c r="K54" s="1143"/>
      <c r="L54" s="1143"/>
      <c r="M54" s="1143"/>
      <c r="N54" s="1143"/>
      <c r="O54" s="1143"/>
      <c r="P54" s="1143"/>
      <c r="Q54" s="1143"/>
      <c r="R54" s="1143"/>
      <c r="S54" s="1143"/>
      <c r="T54" s="1143"/>
      <c r="U54" s="1144"/>
    </row>
    <row r="55" spans="2:21" ht="15" customHeight="1" thickBot="1">
      <c r="B55" s="297"/>
      <c r="C55" s="1139" t="s">
        <v>521</v>
      </c>
      <c r="D55" s="1140"/>
      <c r="E55" s="1140"/>
      <c r="F55" s="1140"/>
      <c r="G55" s="1140"/>
      <c r="H55" s="1141"/>
      <c r="I55" s="297"/>
      <c r="J55" s="1139" t="s">
        <v>522</v>
      </c>
      <c r="K55" s="1140"/>
      <c r="L55" s="1140"/>
      <c r="M55" s="1140"/>
      <c r="N55" s="1141"/>
      <c r="O55" s="297"/>
      <c r="P55" s="297"/>
      <c r="Q55" s="1139" t="s">
        <v>522</v>
      </c>
      <c r="R55" s="1140"/>
      <c r="S55" s="1140"/>
      <c r="T55" s="1140"/>
      <c r="U55" s="1141"/>
    </row>
    <row r="56" spans="2:21" ht="15" customHeight="1"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</row>
    <row r="57" spans="2:21" ht="15" customHeight="1">
      <c r="C57" s="299" t="s">
        <v>17</v>
      </c>
      <c r="D57" s="299" t="s">
        <v>515</v>
      </c>
      <c r="E57" s="299" t="s">
        <v>516</v>
      </c>
      <c r="F57" s="299"/>
      <c r="G57" s="299" t="s">
        <v>517</v>
      </c>
      <c r="H57" s="299" t="s">
        <v>149</v>
      </c>
      <c r="I57" s="299"/>
      <c r="J57" s="299" t="s">
        <v>519</v>
      </c>
      <c r="K57" s="299"/>
      <c r="L57" s="299" t="s">
        <v>518</v>
      </c>
      <c r="M57" s="299" t="s">
        <v>520</v>
      </c>
      <c r="N57" s="299" t="s">
        <v>70</v>
      </c>
      <c r="O57" s="299"/>
      <c r="P57" s="299"/>
      <c r="Q57" s="299" t="s">
        <v>523</v>
      </c>
      <c r="R57" s="299" t="s">
        <v>524</v>
      </c>
      <c r="S57" s="299" t="s">
        <v>525</v>
      </c>
    </row>
    <row r="58" spans="2:21" ht="15" customHeight="1">
      <c r="B58" s="293" t="s">
        <v>527</v>
      </c>
    </row>
    <row r="59" spans="2:21" ht="15" customHeight="1">
      <c r="B59" s="293"/>
      <c r="R59" s="291"/>
    </row>
    <row r="60" spans="2:21" ht="15" customHeight="1">
      <c r="B60" s="293" t="s">
        <v>165</v>
      </c>
      <c r="C60" s="286">
        <f t="shared" ref="C60:E61" si="36">C31</f>
        <v>4000</v>
      </c>
      <c r="D60" s="286">
        <f t="shared" si="36"/>
        <v>12</v>
      </c>
      <c r="E60" s="286">
        <f t="shared" si="36"/>
        <v>24</v>
      </c>
      <c r="F60" s="286">
        <f>D60*C60</f>
        <v>48000</v>
      </c>
      <c r="G60" s="286">
        <f>G31</f>
        <v>10</v>
      </c>
      <c r="H60" s="286">
        <f>C60*D60*E60*G60</f>
        <v>11520000</v>
      </c>
      <c r="I60" s="297"/>
      <c r="J60" s="287">
        <f>J31</f>
        <v>150</v>
      </c>
      <c r="K60" s="287"/>
      <c r="L60" s="287" t="e">
        <f>J60*$S$210</f>
        <v>#REF!</v>
      </c>
      <c r="M60" s="287" t="e">
        <f>L60*D60</f>
        <v>#REF!</v>
      </c>
      <c r="N60" s="287" t="e">
        <f>M60*C60</f>
        <v>#REF!</v>
      </c>
      <c r="Q60" s="287" t="e">
        <f>ROUND(((L60*(D60*C60))/H60)*$S$211,2)</f>
        <v>#REF!</v>
      </c>
      <c r="R60" s="287" t="e">
        <f>H60*Q60</f>
        <v>#REF!</v>
      </c>
      <c r="S60" s="291" t="e">
        <f>N60-R60</f>
        <v>#REF!</v>
      </c>
    </row>
    <row r="61" spans="2:21" ht="15" customHeight="1">
      <c r="B61" s="293" t="s">
        <v>234</v>
      </c>
      <c r="C61" s="286">
        <f t="shared" si="36"/>
        <v>2000</v>
      </c>
      <c r="D61" s="286">
        <f t="shared" si="36"/>
        <v>20</v>
      </c>
      <c r="E61" s="286">
        <f t="shared" si="36"/>
        <v>4</v>
      </c>
      <c r="F61" s="286">
        <f>D61*C61</f>
        <v>40000</v>
      </c>
      <c r="G61" s="286">
        <f>G32</f>
        <v>12</v>
      </c>
      <c r="H61" s="286">
        <f>C61*D61*E61*G61</f>
        <v>1920000</v>
      </c>
      <c r="I61" s="297"/>
      <c r="J61" s="287">
        <f>J32</f>
        <v>30</v>
      </c>
      <c r="K61" s="298"/>
      <c r="L61" s="287" t="e">
        <f>J61*$S$210</f>
        <v>#REF!</v>
      </c>
      <c r="M61" s="287" t="e">
        <f>L61*D61</f>
        <v>#REF!</v>
      </c>
      <c r="N61" s="287" t="e">
        <f>M61*C61</f>
        <v>#REF!</v>
      </c>
      <c r="Q61" s="287" t="e">
        <f>ROUND(((L61*(D61*C61))/H61)*$S$211,2)</f>
        <v>#REF!</v>
      </c>
      <c r="R61" s="287" t="e">
        <f>H61*Q61</f>
        <v>#REF!</v>
      </c>
      <c r="S61" s="291" t="e">
        <f>N61-R61</f>
        <v>#REF!</v>
      </c>
    </row>
    <row r="62" spans="2:21" ht="15" customHeight="1" thickBot="1">
      <c r="B62" s="293" t="s">
        <v>526</v>
      </c>
      <c r="C62" s="292">
        <f>SUM(C60:C61)</f>
        <v>6000</v>
      </c>
      <c r="D62" s="292">
        <f>SUM(D60:D61)</f>
        <v>32</v>
      </c>
      <c r="E62" s="292">
        <f>SUM(E60:E61)</f>
        <v>28</v>
      </c>
      <c r="F62" s="292">
        <f t="shared" ref="F62:H62" si="37">SUM(F60:F61)</f>
        <v>88000</v>
      </c>
      <c r="G62" s="292">
        <f t="shared" si="37"/>
        <v>22</v>
      </c>
      <c r="H62" s="292">
        <f t="shared" si="37"/>
        <v>13440000</v>
      </c>
      <c r="I62" s="294"/>
      <c r="J62" s="295">
        <f t="shared" ref="J62" si="38">SUM(J60:J61)</f>
        <v>180</v>
      </c>
      <c r="K62" s="296"/>
      <c r="L62" s="295" t="e">
        <f t="shared" ref="L62:N62" si="39">SUM(L60:L61)</f>
        <v>#REF!</v>
      </c>
      <c r="M62" s="295" t="e">
        <f t="shared" si="39"/>
        <v>#REF!</v>
      </c>
      <c r="N62" s="295" t="e">
        <f t="shared" si="39"/>
        <v>#REF!</v>
      </c>
      <c r="O62" s="296"/>
      <c r="P62" s="296"/>
      <c r="Q62" s="296"/>
      <c r="R62" s="295" t="e">
        <f t="shared" ref="R62:S62" si="40">SUM(R60:R61)</f>
        <v>#REF!</v>
      </c>
      <c r="S62" s="295" t="e">
        <f t="shared" si="40"/>
        <v>#REF!</v>
      </c>
    </row>
    <row r="63" spans="2:21" ht="15" customHeight="1" thickTop="1">
      <c r="B63" s="293"/>
      <c r="C63" s="305" t="s">
        <v>538</v>
      </c>
      <c r="D63" s="286">
        <f>D62*C62</f>
        <v>192000</v>
      </c>
      <c r="I63" s="297"/>
      <c r="K63" s="297"/>
      <c r="O63" s="297"/>
      <c r="P63" s="297"/>
      <c r="Q63" s="297"/>
    </row>
    <row r="64" spans="2:21" ht="15" customHeight="1">
      <c r="B64" s="293" t="s">
        <v>528</v>
      </c>
      <c r="I64" s="297"/>
      <c r="K64" s="297"/>
      <c r="O64" s="297"/>
      <c r="P64" s="297"/>
      <c r="Q64" s="297"/>
    </row>
    <row r="66" spans="2:19" ht="15" customHeight="1">
      <c r="B66" s="293" t="s">
        <v>558</v>
      </c>
      <c r="C66" s="286">
        <f t="shared" ref="C66:E67" si="41">C37</f>
        <v>3000</v>
      </c>
      <c r="D66" s="286">
        <f t="shared" si="41"/>
        <v>12</v>
      </c>
      <c r="E66" s="286">
        <f t="shared" si="41"/>
        <v>12</v>
      </c>
      <c r="F66" s="286">
        <f>D66*C66</f>
        <v>36000</v>
      </c>
      <c r="G66" s="286">
        <f>G37</f>
        <v>12</v>
      </c>
      <c r="H66" s="286">
        <f t="shared" ref="H66:H67" si="42">C66*D66*E66*G66</f>
        <v>5184000</v>
      </c>
      <c r="I66" s="297"/>
      <c r="J66" s="290">
        <f>J37</f>
        <v>350</v>
      </c>
      <c r="K66" s="297"/>
      <c r="L66" s="287" t="e">
        <f>J66*$S$210</f>
        <v>#REF!</v>
      </c>
      <c r="M66" s="287" t="e">
        <f>L66*D66</f>
        <v>#REF!</v>
      </c>
      <c r="N66" s="287" t="e">
        <f>M66*C66</f>
        <v>#REF!</v>
      </c>
      <c r="O66" s="297"/>
      <c r="P66" s="297"/>
      <c r="Q66" s="298" t="e">
        <f>ROUND(((L66*(D66*C66))/H66)*$S$212,2)</f>
        <v>#REF!</v>
      </c>
      <c r="R66" s="287" t="e">
        <f t="shared" ref="R66:R67" si="43">H66*Q66</f>
        <v>#REF!</v>
      </c>
      <c r="S66" s="291" t="e">
        <f>N66-R66</f>
        <v>#REF!</v>
      </c>
    </row>
    <row r="67" spans="2:19" ht="15" customHeight="1">
      <c r="B67" s="293" t="s">
        <v>559</v>
      </c>
      <c r="C67" s="286">
        <f t="shared" si="41"/>
        <v>2000</v>
      </c>
      <c r="D67" s="286">
        <f t="shared" si="41"/>
        <v>20</v>
      </c>
      <c r="E67" s="286">
        <f t="shared" si="41"/>
        <v>4</v>
      </c>
      <c r="F67" s="286">
        <f>D67*C67</f>
        <v>40000</v>
      </c>
      <c r="G67" s="286">
        <f>G38</f>
        <v>8</v>
      </c>
      <c r="H67" s="286">
        <f t="shared" si="42"/>
        <v>1280000</v>
      </c>
      <c r="I67" s="297"/>
      <c r="J67" s="290">
        <f>J38</f>
        <v>30</v>
      </c>
      <c r="K67" s="297"/>
      <c r="L67" s="287" t="e">
        <f>J67*$S$210</f>
        <v>#REF!</v>
      </c>
      <c r="M67" s="287" t="e">
        <f>L67*D67</f>
        <v>#REF!</v>
      </c>
      <c r="N67" s="287" t="e">
        <f>M67*C67</f>
        <v>#REF!</v>
      </c>
      <c r="O67" s="297"/>
      <c r="P67" s="297"/>
      <c r="Q67" s="298" t="e">
        <f>ROUND(((L67*(D67*C67))/H67)*$S$212,2)</f>
        <v>#REF!</v>
      </c>
      <c r="R67" s="287" t="e">
        <f t="shared" si="43"/>
        <v>#REF!</v>
      </c>
      <c r="S67" s="291" t="e">
        <f>N67-R67</f>
        <v>#REF!</v>
      </c>
    </row>
    <row r="68" spans="2:19" ht="15" customHeight="1" thickBot="1">
      <c r="B68" s="293" t="s">
        <v>526</v>
      </c>
      <c r="C68" s="292">
        <f>SUM(C66:C67)</f>
        <v>5000</v>
      </c>
      <c r="D68" s="292">
        <f>SUM(D66:D67)</f>
        <v>32</v>
      </c>
      <c r="E68" s="292">
        <f>SUM(E66:E67)</f>
        <v>16</v>
      </c>
      <c r="F68" s="292">
        <f t="shared" ref="F68:H68" si="44">SUM(F66:F67)</f>
        <v>76000</v>
      </c>
      <c r="G68" s="292">
        <f t="shared" si="44"/>
        <v>20</v>
      </c>
      <c r="H68" s="292">
        <f t="shared" si="44"/>
        <v>6464000</v>
      </c>
      <c r="I68" s="294"/>
      <c r="J68" s="295">
        <f t="shared" ref="J68" si="45">SUM(J66:J67)</f>
        <v>380</v>
      </c>
      <c r="K68" s="296"/>
      <c r="L68" s="295" t="e">
        <f t="shared" ref="L68:N68" si="46">SUM(L66:L67)</f>
        <v>#REF!</v>
      </c>
      <c r="M68" s="295" t="e">
        <f t="shared" si="46"/>
        <v>#REF!</v>
      </c>
      <c r="N68" s="295" t="e">
        <f t="shared" si="46"/>
        <v>#REF!</v>
      </c>
      <c r="O68" s="296"/>
      <c r="P68" s="296"/>
      <c r="Q68" s="296"/>
      <c r="R68" s="295" t="e">
        <f t="shared" ref="R68:S68" si="47">SUM(R66:R67)</f>
        <v>#REF!</v>
      </c>
      <c r="S68" s="295" t="e">
        <f t="shared" si="47"/>
        <v>#REF!</v>
      </c>
    </row>
    <row r="69" spans="2:19" ht="15" customHeight="1" thickTop="1">
      <c r="B69" s="293"/>
      <c r="C69" s="305" t="s">
        <v>538</v>
      </c>
      <c r="D69" s="306">
        <f>D68*C68</f>
        <v>160000</v>
      </c>
      <c r="E69" s="294"/>
      <c r="F69" s="294"/>
      <c r="G69" s="294"/>
      <c r="H69" s="294"/>
      <c r="I69" s="294"/>
      <c r="J69" s="294"/>
      <c r="K69" s="294"/>
      <c r="L69" s="294"/>
      <c r="M69" s="294"/>
      <c r="N69" s="294"/>
      <c r="O69" s="294"/>
      <c r="P69" s="294"/>
      <c r="Q69" s="294"/>
      <c r="R69" s="294"/>
      <c r="S69" s="294"/>
    </row>
    <row r="70" spans="2:19" ht="15" customHeight="1">
      <c r="B70" s="293" t="s">
        <v>529</v>
      </c>
      <c r="I70" s="297"/>
      <c r="K70" s="297"/>
      <c r="O70" s="297"/>
      <c r="P70" s="297"/>
      <c r="Q70" s="297"/>
    </row>
    <row r="71" spans="2:19" ht="15" customHeight="1">
      <c r="B71" s="293"/>
      <c r="F71" s="286"/>
      <c r="I71" s="297"/>
      <c r="K71" s="297"/>
      <c r="O71" s="297"/>
      <c r="P71" s="297"/>
      <c r="Q71" s="297"/>
    </row>
    <row r="72" spans="2:19" ht="15" customHeight="1">
      <c r="B72" s="293" t="s">
        <v>560</v>
      </c>
      <c r="C72">
        <f>C43</f>
        <v>500</v>
      </c>
      <c r="D72">
        <f>D43</f>
        <v>4</v>
      </c>
      <c r="E72">
        <f>E43</f>
        <v>1</v>
      </c>
      <c r="F72" s="286">
        <f>D72*C72</f>
        <v>2000</v>
      </c>
      <c r="G72">
        <f>G43</f>
        <v>10</v>
      </c>
      <c r="H72" s="286">
        <f>C72*D72*E72*G72</f>
        <v>20000</v>
      </c>
      <c r="I72" s="297"/>
      <c r="J72" s="290">
        <f>J43</f>
        <v>500</v>
      </c>
      <c r="K72" s="297"/>
      <c r="L72" s="287" t="e">
        <f>J72*$S$210</f>
        <v>#REF!</v>
      </c>
      <c r="M72" s="287" t="e">
        <f>L72*D72</f>
        <v>#REF!</v>
      </c>
      <c r="N72" s="287" t="e">
        <f>M72*C72</f>
        <v>#REF!</v>
      </c>
      <c r="O72" s="297"/>
      <c r="P72" s="297"/>
      <c r="Q72" s="298" t="e">
        <f>ROUND(((L72*(D72*C72))/H72)*$S$213,2)</f>
        <v>#REF!</v>
      </c>
      <c r="R72" s="287" t="e">
        <f>H72*Q72</f>
        <v>#REF!</v>
      </c>
      <c r="S72" s="291" t="e">
        <f>N72-R72</f>
        <v>#REF!</v>
      </c>
    </row>
    <row r="73" spans="2:19" ht="15" customHeight="1" thickBot="1">
      <c r="B73" s="293" t="s">
        <v>526</v>
      </c>
      <c r="C73" s="292">
        <f>SUM(C71:C72)</f>
        <v>500</v>
      </c>
      <c r="D73" s="292">
        <f>SUM(D71:D72)</f>
        <v>4</v>
      </c>
      <c r="E73" s="292">
        <f>SUM(E71:E72)</f>
        <v>1</v>
      </c>
      <c r="F73" s="292">
        <f t="shared" ref="F73:H73" si="48">SUM(F71:F72)</f>
        <v>2000</v>
      </c>
      <c r="G73" s="292">
        <f t="shared" si="48"/>
        <v>10</v>
      </c>
      <c r="H73" s="292">
        <f t="shared" si="48"/>
        <v>20000</v>
      </c>
      <c r="I73" s="294"/>
      <c r="J73" s="295">
        <f t="shared" ref="J73" si="49">SUM(J71:J72)</f>
        <v>500</v>
      </c>
      <c r="K73" s="296"/>
      <c r="L73" s="295" t="e">
        <f t="shared" ref="L73:N73" si="50">SUM(L71:L72)</f>
        <v>#REF!</v>
      </c>
      <c r="M73" s="295" t="e">
        <f t="shared" si="50"/>
        <v>#REF!</v>
      </c>
      <c r="N73" s="295" t="e">
        <f t="shared" si="50"/>
        <v>#REF!</v>
      </c>
      <c r="O73" s="296"/>
      <c r="P73" s="296"/>
      <c r="Q73" s="296"/>
      <c r="R73" s="295" t="e">
        <f t="shared" ref="R73:S73" si="51">SUM(R71:R72)</f>
        <v>#REF!</v>
      </c>
      <c r="S73" s="295" t="e">
        <f t="shared" si="51"/>
        <v>#REF!</v>
      </c>
    </row>
    <row r="74" spans="2:19" ht="15" customHeight="1" thickTop="1">
      <c r="C74" s="305" t="s">
        <v>538</v>
      </c>
      <c r="D74" s="286">
        <f>D73*C73</f>
        <v>2000</v>
      </c>
      <c r="H74" s="286"/>
      <c r="I74" s="297"/>
      <c r="J74" s="290"/>
      <c r="K74" s="297"/>
      <c r="L74" s="287"/>
      <c r="M74" s="304"/>
      <c r="N74" s="291"/>
      <c r="R74" s="304"/>
      <c r="S74" s="291"/>
    </row>
    <row r="75" spans="2:19" ht="15" customHeight="1">
      <c r="B75" s="293" t="s">
        <v>551</v>
      </c>
    </row>
    <row r="76" spans="2:19" ht="15" customHeight="1">
      <c r="B76" s="293"/>
    </row>
    <row r="77" spans="2:19" ht="15" customHeight="1">
      <c r="B77" s="293" t="s">
        <v>561</v>
      </c>
      <c r="C77" s="286">
        <f>C66</f>
        <v>3000</v>
      </c>
      <c r="D77" s="286">
        <f t="shared" ref="D77:G78" si="52">D66</f>
        <v>12</v>
      </c>
      <c r="E77" s="286">
        <f t="shared" si="52"/>
        <v>12</v>
      </c>
      <c r="F77" s="286">
        <f>D77*C77</f>
        <v>36000</v>
      </c>
      <c r="G77" s="286">
        <f t="shared" si="52"/>
        <v>12</v>
      </c>
      <c r="H77" s="286">
        <f>C77*D77*E77*G77</f>
        <v>5184000</v>
      </c>
      <c r="I77" s="297"/>
      <c r="J77" s="289">
        <f>J66</f>
        <v>350</v>
      </c>
      <c r="K77" s="287"/>
      <c r="L77" s="287" t="e">
        <f>J77*$S$210</f>
        <v>#REF!</v>
      </c>
      <c r="M77" s="287" t="e">
        <f>L77*D77</f>
        <v>#REF!</v>
      </c>
      <c r="N77" s="287" t="e">
        <f>M77*C77</f>
        <v>#REF!</v>
      </c>
      <c r="Q77" s="287" t="e">
        <f>ROUND(((L77*(D77*C77))/H77)*$S$211,2)</f>
        <v>#REF!</v>
      </c>
      <c r="R77" s="287" t="e">
        <f>H77*Q77</f>
        <v>#REF!</v>
      </c>
      <c r="S77" s="291" t="e">
        <f>N77-R77</f>
        <v>#REF!</v>
      </c>
    </row>
    <row r="78" spans="2:19" ht="15" customHeight="1">
      <c r="B78" s="293" t="s">
        <v>562</v>
      </c>
      <c r="C78" s="286">
        <f>C67</f>
        <v>2000</v>
      </c>
      <c r="D78" s="286">
        <f t="shared" si="52"/>
        <v>20</v>
      </c>
      <c r="E78" s="286">
        <f t="shared" si="52"/>
        <v>4</v>
      </c>
      <c r="F78" s="286">
        <f>D78*C78</f>
        <v>40000</v>
      </c>
      <c r="G78" s="286">
        <f t="shared" si="52"/>
        <v>8</v>
      </c>
      <c r="H78" s="286">
        <f>C78*D78*E78*G78</f>
        <v>1280000</v>
      </c>
      <c r="I78" s="297"/>
      <c r="J78" s="289">
        <f>J67</f>
        <v>30</v>
      </c>
      <c r="K78" s="298"/>
      <c r="L78" s="287" t="e">
        <f>J78*$S$210</f>
        <v>#REF!</v>
      </c>
      <c r="M78" s="287" t="e">
        <f>L78*D78</f>
        <v>#REF!</v>
      </c>
      <c r="N78" s="287" t="e">
        <f>M78*C78</f>
        <v>#REF!</v>
      </c>
      <c r="Q78" s="287" t="e">
        <f>ROUND(((L78*(D78*C78))/H78)*$S$211,2)</f>
        <v>#REF!</v>
      </c>
      <c r="R78" s="287" t="e">
        <f>H78*Q78</f>
        <v>#REF!</v>
      </c>
      <c r="S78" s="291" t="e">
        <f>N78-R78</f>
        <v>#REF!</v>
      </c>
    </row>
    <row r="79" spans="2:19" ht="15" customHeight="1" thickBot="1">
      <c r="B79" s="293" t="s">
        <v>526</v>
      </c>
      <c r="C79" s="292">
        <f>SUM(C77:C78)</f>
        <v>5000</v>
      </c>
      <c r="D79" s="292">
        <f>SUM(D77:D78)</f>
        <v>32</v>
      </c>
      <c r="E79" s="292">
        <f>SUM(E77:E78)</f>
        <v>16</v>
      </c>
      <c r="F79" s="292">
        <f t="shared" ref="F79:H79" si="53">SUM(F77:F78)</f>
        <v>76000</v>
      </c>
      <c r="G79" s="292">
        <f t="shared" si="53"/>
        <v>20</v>
      </c>
      <c r="H79" s="292">
        <f t="shared" si="53"/>
        <v>6464000</v>
      </c>
      <c r="I79" s="294"/>
      <c r="J79" s="295">
        <f t="shared" ref="J79" si="54">SUM(J77:J78)</f>
        <v>380</v>
      </c>
      <c r="K79" s="296"/>
      <c r="L79" s="295" t="e">
        <f t="shared" ref="L79:N79" si="55">SUM(L77:L78)</f>
        <v>#REF!</v>
      </c>
      <c r="M79" s="295" t="e">
        <f t="shared" si="55"/>
        <v>#REF!</v>
      </c>
      <c r="N79" s="295" t="e">
        <f t="shared" si="55"/>
        <v>#REF!</v>
      </c>
      <c r="O79" s="296"/>
      <c r="P79" s="296"/>
      <c r="Q79" s="296"/>
      <c r="R79" s="295" t="e">
        <f t="shared" ref="R79:S79" si="56">SUM(R77:R78)</f>
        <v>#REF!</v>
      </c>
      <c r="S79" s="295" t="e">
        <f t="shared" si="56"/>
        <v>#REF!</v>
      </c>
    </row>
    <row r="80" spans="2:19" ht="15" customHeight="1" thickTop="1">
      <c r="B80" s="293"/>
      <c r="C80" s="305" t="s">
        <v>538</v>
      </c>
      <c r="D80" s="286">
        <f>D79*C79</f>
        <v>160000</v>
      </c>
      <c r="I80" s="297"/>
      <c r="K80" s="297"/>
      <c r="O80" s="297"/>
      <c r="P80" s="297"/>
      <c r="Q80" s="297"/>
    </row>
    <row r="81" spans="2:21" ht="15" customHeight="1">
      <c r="B81" s="293" t="s">
        <v>552</v>
      </c>
      <c r="I81" s="297"/>
      <c r="K81" s="297"/>
      <c r="O81" s="297"/>
      <c r="P81" s="297"/>
      <c r="Q81" s="297"/>
    </row>
    <row r="82" spans="2:21" ht="15" customHeight="1">
      <c r="B82" s="293"/>
      <c r="I82" s="297"/>
      <c r="K82" s="297"/>
      <c r="O82" s="297"/>
      <c r="P82" s="297"/>
      <c r="Q82" s="297"/>
    </row>
    <row r="83" spans="2:21" ht="15" customHeight="1">
      <c r="B83" s="293" t="s">
        <v>563</v>
      </c>
      <c r="C83">
        <f>C72</f>
        <v>500</v>
      </c>
      <c r="D83">
        <f t="shared" ref="D83:G83" si="57">D72</f>
        <v>4</v>
      </c>
      <c r="E83">
        <f t="shared" si="57"/>
        <v>1</v>
      </c>
      <c r="F83" s="286">
        <f>D83*C83</f>
        <v>2000</v>
      </c>
      <c r="G83">
        <f t="shared" si="57"/>
        <v>10</v>
      </c>
      <c r="H83" s="286">
        <f>C83*D83*E83*G83</f>
        <v>20000</v>
      </c>
      <c r="I83" s="297"/>
      <c r="J83" s="290">
        <f>J72</f>
        <v>500</v>
      </c>
      <c r="K83" s="297"/>
      <c r="L83" s="287" t="e">
        <f>J83*$S$210</f>
        <v>#REF!</v>
      </c>
      <c r="M83" s="287" t="e">
        <f>L83*D83</f>
        <v>#REF!</v>
      </c>
      <c r="N83" s="287" t="e">
        <f>M83*C83</f>
        <v>#REF!</v>
      </c>
      <c r="O83" s="297"/>
      <c r="P83" s="297"/>
      <c r="Q83" s="298" t="e">
        <f>ROUND(((L83*(D83*C83))/H83)*$S$213,2)</f>
        <v>#REF!</v>
      </c>
      <c r="R83" s="287" t="e">
        <f>H83*Q83</f>
        <v>#REF!</v>
      </c>
      <c r="S83" s="291" t="e">
        <f>N83-R83</f>
        <v>#REF!</v>
      </c>
    </row>
    <row r="84" spans="2:21" ht="15" customHeight="1" thickBot="1">
      <c r="B84" s="293" t="s">
        <v>526</v>
      </c>
      <c r="C84" s="292">
        <f>SUM(C82:C83)</f>
        <v>500</v>
      </c>
      <c r="D84" s="292">
        <f>SUM(D82:D83)</f>
        <v>4</v>
      </c>
      <c r="E84" s="292">
        <f>SUM(E82:E83)</f>
        <v>1</v>
      </c>
      <c r="F84" s="292">
        <f t="shared" ref="F84:H84" si="58">SUM(F82:F83)</f>
        <v>2000</v>
      </c>
      <c r="G84" s="292">
        <f t="shared" si="58"/>
        <v>10</v>
      </c>
      <c r="H84" s="292">
        <f t="shared" si="58"/>
        <v>20000</v>
      </c>
      <c r="I84" s="294"/>
      <c r="J84" s="295">
        <f t="shared" ref="J84" si="59">SUM(J82:J83)</f>
        <v>500</v>
      </c>
      <c r="K84" s="296"/>
      <c r="L84" s="295" t="e">
        <f t="shared" ref="L84:N84" si="60">SUM(L82:L83)</f>
        <v>#REF!</v>
      </c>
      <c r="M84" s="295" t="e">
        <f t="shared" si="60"/>
        <v>#REF!</v>
      </c>
      <c r="N84" s="295" t="e">
        <f t="shared" si="60"/>
        <v>#REF!</v>
      </c>
      <c r="O84" s="296"/>
      <c r="P84" s="296"/>
      <c r="Q84" s="296"/>
      <c r="R84" s="295" t="e">
        <f t="shared" ref="R84:S84" si="61">SUM(R82:R83)</f>
        <v>#REF!</v>
      </c>
      <c r="S84" s="295" t="e">
        <f t="shared" si="61"/>
        <v>#REF!</v>
      </c>
    </row>
    <row r="85" spans="2:21" ht="15" customHeight="1" thickTop="1">
      <c r="C85" s="305" t="s">
        <v>538</v>
      </c>
      <c r="D85" s="286">
        <f>D84*C84</f>
        <v>2000</v>
      </c>
      <c r="H85" s="286"/>
      <c r="I85" s="297"/>
      <c r="J85" s="290"/>
      <c r="K85" s="297"/>
      <c r="L85" s="287"/>
      <c r="M85" s="304"/>
      <c r="N85" s="291"/>
      <c r="R85" s="304"/>
      <c r="S85" s="291"/>
    </row>
    <row r="86" spans="2:21" ht="15" customHeight="1">
      <c r="B86" s="293" t="s">
        <v>553</v>
      </c>
      <c r="I86" s="297"/>
      <c r="K86" s="297"/>
      <c r="O86" s="297"/>
      <c r="P86" s="297"/>
      <c r="Q86" s="297"/>
    </row>
    <row r="87" spans="2:21" ht="15" customHeight="1">
      <c r="B87" s="293"/>
      <c r="I87" s="297"/>
      <c r="K87" s="297"/>
      <c r="O87" s="297"/>
      <c r="P87" s="297"/>
      <c r="Q87" s="297"/>
    </row>
    <row r="88" spans="2:21" ht="15" customHeight="1">
      <c r="B88" s="293" t="s">
        <v>564</v>
      </c>
      <c r="C88">
        <f>C72</f>
        <v>500</v>
      </c>
      <c r="D88">
        <f t="shared" ref="D88:G88" si="62">D72</f>
        <v>4</v>
      </c>
      <c r="E88">
        <f t="shared" si="62"/>
        <v>1</v>
      </c>
      <c r="F88" s="286">
        <f>D88*C88</f>
        <v>2000</v>
      </c>
      <c r="G88">
        <f t="shared" si="62"/>
        <v>10</v>
      </c>
      <c r="H88" s="286">
        <f>C88*D88*E88*G88</f>
        <v>20000</v>
      </c>
      <c r="I88" s="297"/>
      <c r="J88" s="290">
        <f>J72</f>
        <v>500</v>
      </c>
      <c r="K88" s="297"/>
      <c r="L88" s="287" t="e">
        <f>J88*$S$210</f>
        <v>#REF!</v>
      </c>
      <c r="M88" s="287" t="e">
        <f>L88*D88</f>
        <v>#REF!</v>
      </c>
      <c r="N88" s="287" t="e">
        <f>M88*C88</f>
        <v>#REF!</v>
      </c>
      <c r="O88" s="297"/>
      <c r="P88" s="297"/>
      <c r="Q88" s="298" t="e">
        <f>ROUND(((L88*(D88*C88))/H88)*$S$213,2)</f>
        <v>#REF!</v>
      </c>
      <c r="R88" s="287" t="e">
        <f>H88*Q88</f>
        <v>#REF!</v>
      </c>
      <c r="S88" s="291" t="e">
        <f>N88-R88</f>
        <v>#REF!</v>
      </c>
    </row>
    <row r="89" spans="2:21" ht="15" customHeight="1" thickBot="1">
      <c r="B89" s="293" t="s">
        <v>526</v>
      </c>
      <c r="C89" s="292">
        <f>SUM(C87:C88)</f>
        <v>500</v>
      </c>
      <c r="D89" s="292">
        <f>SUM(D87:D88)</f>
        <v>4</v>
      </c>
      <c r="E89" s="292">
        <f>SUM(E87:E88)</f>
        <v>1</v>
      </c>
      <c r="F89" s="292">
        <f t="shared" ref="F89:H89" si="63">SUM(F87:F88)</f>
        <v>2000</v>
      </c>
      <c r="G89" s="292">
        <f t="shared" si="63"/>
        <v>10</v>
      </c>
      <c r="H89" s="292">
        <f t="shared" si="63"/>
        <v>20000</v>
      </c>
      <c r="I89" s="294"/>
      <c r="J89" s="295">
        <f t="shared" ref="J89" si="64">SUM(J87:J88)</f>
        <v>500</v>
      </c>
      <c r="K89" s="296"/>
      <c r="L89" s="295" t="e">
        <f t="shared" ref="L89:N89" si="65">SUM(L87:L88)</f>
        <v>#REF!</v>
      </c>
      <c r="M89" s="295" t="e">
        <f t="shared" si="65"/>
        <v>#REF!</v>
      </c>
      <c r="N89" s="295" t="e">
        <f t="shared" si="65"/>
        <v>#REF!</v>
      </c>
      <c r="O89" s="296"/>
      <c r="P89" s="296"/>
      <c r="Q89" s="296"/>
      <c r="R89" s="295" t="e">
        <f t="shared" ref="R89:S89" si="66">SUM(R87:R88)</f>
        <v>#REF!</v>
      </c>
      <c r="S89" s="295" t="e">
        <f t="shared" si="66"/>
        <v>#REF!</v>
      </c>
    </row>
    <row r="90" spans="2:21" ht="15" customHeight="1" thickTop="1" thickBot="1">
      <c r="C90" s="305"/>
      <c r="D90" s="286"/>
      <c r="E90" t="s">
        <v>144</v>
      </c>
      <c r="F90" s="288">
        <f>F62+F68+F73+F79+F84+F89</f>
        <v>246000</v>
      </c>
      <c r="H90" s="286"/>
      <c r="I90" s="297"/>
      <c r="J90" s="290"/>
      <c r="K90" s="297"/>
      <c r="L90" s="287"/>
      <c r="M90" s="304" t="s">
        <v>530</v>
      </c>
      <c r="N90" s="291" t="e">
        <f>(N79+N84+N89+N73+N68+N62)/6</f>
        <v>#REF!</v>
      </c>
      <c r="R90" s="304" t="s">
        <v>530</v>
      </c>
      <c r="S90" s="291" t="e">
        <f>(S62+S68+S73+S79+S84+S89)/6</f>
        <v>#REF!</v>
      </c>
    </row>
    <row r="91" spans="2:21" ht="15" customHeight="1" thickBot="1">
      <c r="C91" s="305"/>
      <c r="D91" s="286"/>
      <c r="H91" s="286"/>
      <c r="I91" s="297"/>
      <c r="J91" s="290"/>
      <c r="K91" s="297"/>
      <c r="L91" s="287"/>
      <c r="M91" s="287"/>
      <c r="N91" s="300"/>
      <c r="O91" s="291"/>
      <c r="S91" s="303" t="e">
        <f>S62+S68+S73+S79+S84+S89</f>
        <v>#REF!</v>
      </c>
    </row>
    <row r="92" spans="2:21" ht="15" customHeight="1">
      <c r="H92" s="286"/>
      <c r="I92" s="297"/>
      <c r="J92" s="290"/>
      <c r="K92" s="297"/>
      <c r="L92" s="287"/>
      <c r="M92" s="287"/>
      <c r="N92" s="300"/>
      <c r="O92" s="291"/>
    </row>
    <row r="93" spans="2:21" ht="15" customHeight="1" thickBot="1">
      <c r="H93" s="286"/>
      <c r="I93" s="297"/>
      <c r="J93" s="290"/>
      <c r="K93" s="297"/>
      <c r="L93" s="287"/>
      <c r="M93" s="287"/>
      <c r="N93" s="300"/>
      <c r="O93" s="291"/>
    </row>
    <row r="94" spans="2:21" ht="15" customHeight="1" thickBot="1">
      <c r="B94" s="1142" t="s">
        <v>544</v>
      </c>
      <c r="C94" s="1143"/>
      <c r="D94" s="1143"/>
      <c r="E94" s="1143"/>
      <c r="F94" s="1143"/>
      <c r="G94" s="1143"/>
      <c r="H94" s="1143"/>
      <c r="I94" s="1143"/>
      <c r="J94" s="1143"/>
      <c r="K94" s="1143"/>
      <c r="L94" s="1143"/>
      <c r="M94" s="1143"/>
      <c r="N94" s="1143"/>
      <c r="O94" s="1143"/>
      <c r="P94" s="1143"/>
      <c r="Q94" s="1143"/>
      <c r="R94" s="1143"/>
      <c r="S94" s="1143"/>
      <c r="T94" s="1143"/>
      <c r="U94" s="1144"/>
    </row>
    <row r="95" spans="2:21" ht="15" customHeight="1" thickBot="1">
      <c r="B95" s="297"/>
      <c r="C95" s="1139" t="s">
        <v>521</v>
      </c>
      <c r="D95" s="1140"/>
      <c r="E95" s="1140"/>
      <c r="F95" s="1140"/>
      <c r="G95" s="1140"/>
      <c r="H95" s="1141"/>
      <c r="I95" s="297"/>
      <c r="J95" s="1139" t="s">
        <v>522</v>
      </c>
      <c r="K95" s="1140"/>
      <c r="L95" s="1140"/>
      <c r="M95" s="1140"/>
      <c r="N95" s="1141"/>
      <c r="O95" s="297"/>
      <c r="P95" s="297"/>
      <c r="Q95" s="1139" t="s">
        <v>522</v>
      </c>
      <c r="R95" s="1140"/>
      <c r="S95" s="1140"/>
      <c r="T95" s="1140"/>
      <c r="U95" s="1141"/>
    </row>
    <row r="97" spans="2:19" ht="15" customHeight="1">
      <c r="C97" s="299" t="s">
        <v>17</v>
      </c>
      <c r="D97" s="299" t="s">
        <v>515</v>
      </c>
      <c r="E97" s="299" t="s">
        <v>516</v>
      </c>
      <c r="F97" s="299"/>
      <c r="G97" s="299" t="s">
        <v>517</v>
      </c>
      <c r="H97" s="299" t="s">
        <v>149</v>
      </c>
      <c r="I97" s="299"/>
      <c r="J97" s="299" t="s">
        <v>519</v>
      </c>
      <c r="K97" s="299"/>
      <c r="L97" s="299" t="s">
        <v>518</v>
      </c>
      <c r="M97" s="299" t="s">
        <v>520</v>
      </c>
      <c r="N97" s="299" t="s">
        <v>70</v>
      </c>
      <c r="O97" s="299"/>
      <c r="P97" s="299"/>
      <c r="Q97" s="299" t="s">
        <v>523</v>
      </c>
      <c r="R97" s="299" t="s">
        <v>524</v>
      </c>
      <c r="S97" s="299" t="s">
        <v>525</v>
      </c>
    </row>
    <row r="98" spans="2:19" ht="15" customHeight="1">
      <c r="B98" s="293" t="s">
        <v>527</v>
      </c>
    </row>
    <row r="99" spans="2:19" ht="15" customHeight="1">
      <c r="B99" s="293"/>
    </row>
    <row r="100" spans="2:19" ht="15" customHeight="1">
      <c r="B100" s="293" t="s">
        <v>165</v>
      </c>
      <c r="C100" s="286">
        <f t="shared" ref="C100:E101" si="67">C60</f>
        <v>4000</v>
      </c>
      <c r="D100" s="286">
        <f t="shared" si="67"/>
        <v>12</v>
      </c>
      <c r="E100" s="286">
        <f t="shared" si="67"/>
        <v>24</v>
      </c>
      <c r="F100" s="286">
        <f>D100*C100</f>
        <v>48000</v>
      </c>
      <c r="G100" s="286">
        <f>G60</f>
        <v>10</v>
      </c>
      <c r="H100" s="286">
        <f>C100*D100*E100*G100</f>
        <v>11520000</v>
      </c>
      <c r="I100" s="297"/>
      <c r="J100" s="287">
        <f>J60</f>
        <v>150</v>
      </c>
      <c r="K100" s="287"/>
      <c r="L100" s="287" t="e">
        <f>J100*$S$210</f>
        <v>#REF!</v>
      </c>
      <c r="M100" s="287" t="e">
        <f>L100*D100</f>
        <v>#REF!</v>
      </c>
      <c r="N100" s="287" t="e">
        <f>M100*C100</f>
        <v>#REF!</v>
      </c>
      <c r="Q100" s="287" t="e">
        <f>ROUND(((L100*(D100*C100))/H100)*$S$211,2)</f>
        <v>#REF!</v>
      </c>
      <c r="R100" s="287" t="e">
        <f>H100*Q100</f>
        <v>#REF!</v>
      </c>
      <c r="S100" s="291" t="e">
        <f>N100-R100</f>
        <v>#REF!</v>
      </c>
    </row>
    <row r="101" spans="2:19" ht="15" customHeight="1">
      <c r="B101" s="293" t="s">
        <v>234</v>
      </c>
      <c r="C101" s="286">
        <f t="shared" si="67"/>
        <v>2000</v>
      </c>
      <c r="D101" s="286">
        <f t="shared" si="67"/>
        <v>20</v>
      </c>
      <c r="E101" s="286">
        <f t="shared" si="67"/>
        <v>4</v>
      </c>
      <c r="F101" s="286">
        <f>D101*C101</f>
        <v>40000</v>
      </c>
      <c r="G101" s="286">
        <f>G61</f>
        <v>12</v>
      </c>
      <c r="H101" s="286">
        <f>C101*D101*E101*G101</f>
        <v>1920000</v>
      </c>
      <c r="I101" s="297"/>
      <c r="J101" s="287">
        <f>J61</f>
        <v>30</v>
      </c>
      <c r="K101" s="298"/>
      <c r="L101" s="287" t="e">
        <f>J101*$S$210</f>
        <v>#REF!</v>
      </c>
      <c r="M101" s="287" t="e">
        <f>L101*D101</f>
        <v>#REF!</v>
      </c>
      <c r="N101" s="287" t="e">
        <f>M101*C101</f>
        <v>#REF!</v>
      </c>
      <c r="Q101" s="287" t="e">
        <f>ROUND(((L101*(D101*C101))/H101)*$S$211,2)</f>
        <v>#REF!</v>
      </c>
      <c r="R101" s="287" t="e">
        <f>H101*Q101</f>
        <v>#REF!</v>
      </c>
      <c r="S101" s="291" t="e">
        <f>N101-R101</f>
        <v>#REF!</v>
      </c>
    </row>
    <row r="102" spans="2:19" ht="15" customHeight="1" thickBot="1">
      <c r="B102" s="293" t="s">
        <v>526</v>
      </c>
      <c r="C102" s="292">
        <f>SUM(C100:C101)</f>
        <v>6000</v>
      </c>
      <c r="D102" s="292">
        <f>SUM(D100:D101)</f>
        <v>32</v>
      </c>
      <c r="E102" s="292">
        <f>SUM(E100:E101)</f>
        <v>28</v>
      </c>
      <c r="F102" s="292">
        <f t="shared" ref="F102:H102" si="68">SUM(F100:F101)</f>
        <v>88000</v>
      </c>
      <c r="G102" s="292">
        <f t="shared" si="68"/>
        <v>22</v>
      </c>
      <c r="H102" s="292">
        <f t="shared" si="68"/>
        <v>13440000</v>
      </c>
      <c r="I102" s="294"/>
      <c r="J102" s="295">
        <f t="shared" ref="J102" si="69">SUM(J100:J101)</f>
        <v>180</v>
      </c>
      <c r="K102" s="296"/>
      <c r="L102" s="295" t="e">
        <f t="shared" ref="L102:N102" si="70">SUM(L100:L101)</f>
        <v>#REF!</v>
      </c>
      <c r="M102" s="295" t="e">
        <f t="shared" si="70"/>
        <v>#REF!</v>
      </c>
      <c r="N102" s="295" t="e">
        <f t="shared" si="70"/>
        <v>#REF!</v>
      </c>
      <c r="O102" s="296"/>
      <c r="P102" s="296"/>
      <c r="Q102" s="296"/>
      <c r="R102" s="295" t="e">
        <f t="shared" ref="R102:S102" si="71">SUM(R100:R101)</f>
        <v>#REF!</v>
      </c>
      <c r="S102" s="295" t="e">
        <f t="shared" si="71"/>
        <v>#REF!</v>
      </c>
    </row>
    <row r="103" spans="2:19" ht="15" customHeight="1" thickTop="1">
      <c r="B103" s="293"/>
      <c r="C103" s="305" t="s">
        <v>538</v>
      </c>
      <c r="D103" s="286">
        <f>D102*C102</f>
        <v>192000</v>
      </c>
      <c r="I103" s="297"/>
      <c r="K103" s="297"/>
      <c r="O103" s="297"/>
      <c r="P103" s="297"/>
      <c r="Q103" s="297"/>
    </row>
    <row r="104" spans="2:19" ht="15" customHeight="1">
      <c r="B104" s="293" t="s">
        <v>528</v>
      </c>
      <c r="I104" s="297"/>
      <c r="K104" s="297"/>
      <c r="O104" s="297"/>
      <c r="P104" s="297"/>
      <c r="Q104" s="297"/>
    </row>
    <row r="105" spans="2:19" ht="15" customHeight="1">
      <c r="B105" s="293"/>
      <c r="I105" s="297"/>
      <c r="K105" s="297"/>
      <c r="O105" s="297"/>
      <c r="P105" s="297"/>
      <c r="Q105" s="297"/>
    </row>
    <row r="106" spans="2:19" ht="15" customHeight="1">
      <c r="B106" s="293" t="s">
        <v>558</v>
      </c>
      <c r="C106" s="286">
        <f t="shared" ref="C106:E107" si="72">C66</f>
        <v>3000</v>
      </c>
      <c r="D106" s="286">
        <f t="shared" si="72"/>
        <v>12</v>
      </c>
      <c r="E106" s="286">
        <f t="shared" si="72"/>
        <v>12</v>
      </c>
      <c r="F106" s="286">
        <f>D106*C106</f>
        <v>36000</v>
      </c>
      <c r="G106" s="286">
        <f>G66</f>
        <v>12</v>
      </c>
      <c r="H106" s="286">
        <f t="shared" ref="H106:H107" si="73">C106*D106*E106*G106</f>
        <v>5184000</v>
      </c>
      <c r="I106" s="297"/>
      <c r="J106" s="290">
        <f>J66</f>
        <v>350</v>
      </c>
      <c r="K106" s="297"/>
      <c r="L106" s="287" t="e">
        <f>J106*$S$210</f>
        <v>#REF!</v>
      </c>
      <c r="M106" s="287" t="e">
        <f>L106*D106</f>
        <v>#REF!</v>
      </c>
      <c r="N106" s="287" t="e">
        <f>M106*C106</f>
        <v>#REF!</v>
      </c>
      <c r="O106" s="297"/>
      <c r="P106" s="297"/>
      <c r="Q106" s="298" t="e">
        <f>ROUND(((L106*(D106*C106))/H106)*$S$212,2)</f>
        <v>#REF!</v>
      </c>
      <c r="R106" s="287" t="e">
        <f t="shared" ref="R106:R107" si="74">H106*Q106</f>
        <v>#REF!</v>
      </c>
      <c r="S106" s="291" t="e">
        <f>N106-R106</f>
        <v>#REF!</v>
      </c>
    </row>
    <row r="107" spans="2:19" ht="15" customHeight="1">
      <c r="B107" s="293" t="s">
        <v>559</v>
      </c>
      <c r="C107" s="286">
        <f t="shared" si="72"/>
        <v>2000</v>
      </c>
      <c r="D107" s="286">
        <f t="shared" si="72"/>
        <v>20</v>
      </c>
      <c r="E107" s="286">
        <f t="shared" si="72"/>
        <v>4</v>
      </c>
      <c r="F107" s="286">
        <f>D107*C107</f>
        <v>40000</v>
      </c>
      <c r="G107" s="286">
        <f>G67</f>
        <v>8</v>
      </c>
      <c r="H107" s="286">
        <f t="shared" si="73"/>
        <v>1280000</v>
      </c>
      <c r="I107" s="297"/>
      <c r="J107" s="290">
        <f>J67</f>
        <v>30</v>
      </c>
      <c r="K107" s="297"/>
      <c r="L107" s="287" t="e">
        <f>J107*$S$210</f>
        <v>#REF!</v>
      </c>
      <c r="M107" s="287" t="e">
        <f>L107*D107</f>
        <v>#REF!</v>
      </c>
      <c r="N107" s="287" t="e">
        <f>M107*C107</f>
        <v>#REF!</v>
      </c>
      <c r="O107" s="297"/>
      <c r="P107" s="297"/>
      <c r="Q107" s="298" t="e">
        <f>ROUND(((L107*(D107*C107))/H107)*$S$212,2)</f>
        <v>#REF!</v>
      </c>
      <c r="R107" s="287" t="e">
        <f t="shared" si="74"/>
        <v>#REF!</v>
      </c>
      <c r="S107" s="291" t="e">
        <f>N107-R107</f>
        <v>#REF!</v>
      </c>
    </row>
    <row r="108" spans="2:19" ht="15" customHeight="1" thickBot="1">
      <c r="B108" s="293" t="s">
        <v>526</v>
      </c>
      <c r="C108" s="292">
        <f>SUM(C106:C107)</f>
        <v>5000</v>
      </c>
      <c r="D108" s="292">
        <f>SUM(D106:D107)</f>
        <v>32</v>
      </c>
      <c r="E108" s="292">
        <f>SUM(E106:E107)</f>
        <v>16</v>
      </c>
      <c r="F108" s="292">
        <f t="shared" ref="F108:H108" si="75">SUM(F106:F107)</f>
        <v>76000</v>
      </c>
      <c r="G108" s="292">
        <f t="shared" si="75"/>
        <v>20</v>
      </c>
      <c r="H108" s="292">
        <f t="shared" si="75"/>
        <v>6464000</v>
      </c>
      <c r="I108" s="294"/>
      <c r="J108" s="295">
        <f t="shared" ref="J108" si="76">SUM(J106:J107)</f>
        <v>380</v>
      </c>
      <c r="K108" s="296"/>
      <c r="L108" s="295" t="e">
        <f t="shared" ref="L108:N108" si="77">SUM(L106:L107)</f>
        <v>#REF!</v>
      </c>
      <c r="M108" s="295" t="e">
        <f t="shared" si="77"/>
        <v>#REF!</v>
      </c>
      <c r="N108" s="295" t="e">
        <f t="shared" si="77"/>
        <v>#REF!</v>
      </c>
      <c r="O108" s="296"/>
      <c r="P108" s="296"/>
      <c r="Q108" s="296"/>
      <c r="R108" s="295" t="e">
        <f t="shared" ref="R108:S108" si="78">SUM(R106:R107)</f>
        <v>#REF!</v>
      </c>
      <c r="S108" s="295" t="e">
        <f t="shared" si="78"/>
        <v>#REF!</v>
      </c>
    </row>
    <row r="109" spans="2:19" ht="15" customHeight="1" thickTop="1">
      <c r="B109" s="293"/>
      <c r="C109" s="305" t="s">
        <v>538</v>
      </c>
      <c r="D109" s="306">
        <f>D108*C108</f>
        <v>160000</v>
      </c>
      <c r="E109" s="294"/>
      <c r="F109" s="294"/>
      <c r="G109" s="294"/>
      <c r="H109" s="294"/>
      <c r="I109" s="294"/>
      <c r="J109" s="294"/>
      <c r="K109" s="294"/>
      <c r="L109" s="294"/>
      <c r="M109" s="294"/>
      <c r="N109" s="294"/>
      <c r="O109" s="294"/>
      <c r="P109" s="294"/>
      <c r="Q109" s="294"/>
      <c r="R109" s="294"/>
      <c r="S109" s="294"/>
    </row>
    <row r="110" spans="2:19" ht="15" customHeight="1">
      <c r="B110" s="293" t="s">
        <v>529</v>
      </c>
      <c r="I110" s="297"/>
      <c r="K110" s="297"/>
      <c r="O110" s="297"/>
      <c r="P110" s="297"/>
      <c r="Q110" s="297"/>
    </row>
    <row r="111" spans="2:19" ht="15" customHeight="1">
      <c r="B111" s="293"/>
      <c r="F111" s="286"/>
      <c r="I111" s="297"/>
      <c r="K111" s="297"/>
      <c r="O111" s="297"/>
      <c r="P111" s="297"/>
      <c r="Q111" s="297"/>
    </row>
    <row r="112" spans="2:19" ht="15" customHeight="1">
      <c r="B112" s="293" t="s">
        <v>560</v>
      </c>
      <c r="C112">
        <f>C72</f>
        <v>500</v>
      </c>
      <c r="D112">
        <f>D72</f>
        <v>4</v>
      </c>
      <c r="E112">
        <f>E72</f>
        <v>1</v>
      </c>
      <c r="F112" s="286">
        <f>D112*C112</f>
        <v>2000</v>
      </c>
      <c r="G112">
        <f>G72</f>
        <v>10</v>
      </c>
      <c r="H112" s="286">
        <f>C112*D112*E112*G112</f>
        <v>20000</v>
      </c>
      <c r="I112" s="297"/>
      <c r="J112" s="290">
        <f>J72</f>
        <v>500</v>
      </c>
      <c r="K112" s="297"/>
      <c r="L112" s="287" t="e">
        <f>J112*$S$210</f>
        <v>#REF!</v>
      </c>
      <c r="M112" s="287" t="e">
        <f>L112*D112</f>
        <v>#REF!</v>
      </c>
      <c r="N112" s="287" t="e">
        <f>M112*C112</f>
        <v>#REF!</v>
      </c>
      <c r="O112" s="297"/>
      <c r="P112" s="297"/>
      <c r="Q112" s="298" t="e">
        <f>ROUND(((L112*(D112*C112))/H112)*$S$213,2)</f>
        <v>#REF!</v>
      </c>
      <c r="R112" s="287" t="e">
        <f>H112*Q112</f>
        <v>#REF!</v>
      </c>
      <c r="S112" s="291" t="e">
        <f>N112-R112</f>
        <v>#REF!</v>
      </c>
    </row>
    <row r="113" spans="2:19" ht="15" customHeight="1" thickBot="1">
      <c r="B113" s="293" t="s">
        <v>526</v>
      </c>
      <c r="C113" s="292">
        <f>SUM(C111:C112)</f>
        <v>500</v>
      </c>
      <c r="D113" s="292">
        <f>SUM(D111:D112)</f>
        <v>4</v>
      </c>
      <c r="E113" s="292">
        <f>SUM(E111:E112)</f>
        <v>1</v>
      </c>
      <c r="F113" s="292">
        <f t="shared" ref="F113:H113" si="79">SUM(F111:F112)</f>
        <v>2000</v>
      </c>
      <c r="G113" s="292">
        <f t="shared" si="79"/>
        <v>10</v>
      </c>
      <c r="H113" s="292">
        <f t="shared" si="79"/>
        <v>20000</v>
      </c>
      <c r="I113" s="294"/>
      <c r="J113" s="295">
        <f t="shared" ref="J113" si="80">SUM(J111:J112)</f>
        <v>500</v>
      </c>
      <c r="K113" s="296"/>
      <c r="L113" s="295" t="e">
        <f t="shared" ref="L113:N113" si="81">SUM(L111:L112)</f>
        <v>#REF!</v>
      </c>
      <c r="M113" s="295" t="e">
        <f t="shared" si="81"/>
        <v>#REF!</v>
      </c>
      <c r="N113" s="295" t="e">
        <f t="shared" si="81"/>
        <v>#REF!</v>
      </c>
      <c r="O113" s="296"/>
      <c r="P113" s="296"/>
      <c r="Q113" s="296"/>
      <c r="R113" s="295" t="e">
        <f t="shared" ref="R113:S113" si="82">SUM(R111:R112)</f>
        <v>#REF!</v>
      </c>
      <c r="S113" s="295" t="e">
        <f t="shared" si="82"/>
        <v>#REF!</v>
      </c>
    </row>
    <row r="114" spans="2:19" ht="15" customHeight="1" thickTop="1">
      <c r="C114" s="305" t="s">
        <v>538</v>
      </c>
      <c r="D114" s="286">
        <f>D113*C113</f>
        <v>2000</v>
      </c>
      <c r="H114" s="286"/>
      <c r="I114" s="297"/>
      <c r="J114" s="290"/>
      <c r="K114" s="297"/>
      <c r="L114" s="287"/>
      <c r="M114" s="304"/>
      <c r="N114" s="291"/>
      <c r="R114" s="304"/>
      <c r="S114" s="291"/>
    </row>
    <row r="115" spans="2:19" ht="15" customHeight="1">
      <c r="B115" s="293" t="s">
        <v>551</v>
      </c>
    </row>
    <row r="116" spans="2:19" ht="15" customHeight="1">
      <c r="B116" s="293"/>
    </row>
    <row r="117" spans="2:19" ht="15" customHeight="1">
      <c r="B117" s="293" t="s">
        <v>565</v>
      </c>
      <c r="C117" s="286">
        <f t="shared" ref="C117:E118" si="83">C77</f>
        <v>3000</v>
      </c>
      <c r="D117" s="286">
        <f t="shared" si="83"/>
        <v>12</v>
      </c>
      <c r="E117" s="286">
        <f t="shared" si="83"/>
        <v>12</v>
      </c>
      <c r="F117" s="286">
        <f>D117*C117</f>
        <v>36000</v>
      </c>
      <c r="G117" s="286">
        <f>G77</f>
        <v>12</v>
      </c>
      <c r="H117" s="286">
        <f>C117*D117*E117*G117</f>
        <v>5184000</v>
      </c>
      <c r="I117" s="297"/>
      <c r="J117" s="287">
        <f>J77</f>
        <v>350</v>
      </c>
      <c r="K117" s="287"/>
      <c r="L117" s="287" t="e">
        <f>J117*$S$210</f>
        <v>#REF!</v>
      </c>
      <c r="M117" s="287" t="e">
        <f>L117*D117</f>
        <v>#REF!</v>
      </c>
      <c r="N117" s="287" t="e">
        <f>M117*C117</f>
        <v>#REF!</v>
      </c>
      <c r="Q117" s="287" t="e">
        <f>ROUND(((L117*(D117*C117))/H117)*$S$212,2)</f>
        <v>#REF!</v>
      </c>
      <c r="R117" s="287" t="e">
        <f>H117*Q117</f>
        <v>#REF!</v>
      </c>
      <c r="S117" s="291" t="e">
        <f>N117-R117</f>
        <v>#REF!</v>
      </c>
    </row>
    <row r="118" spans="2:19" ht="15" customHeight="1">
      <c r="B118" s="293" t="s">
        <v>562</v>
      </c>
      <c r="C118" s="286">
        <f t="shared" si="83"/>
        <v>2000</v>
      </c>
      <c r="D118" s="286">
        <f t="shared" si="83"/>
        <v>20</v>
      </c>
      <c r="E118" s="286">
        <f t="shared" si="83"/>
        <v>4</v>
      </c>
      <c r="F118" s="286">
        <f>D118*C118</f>
        <v>40000</v>
      </c>
      <c r="G118" s="286">
        <f>G78</f>
        <v>8</v>
      </c>
      <c r="H118" s="286">
        <f>C118*D118*E118*G118</f>
        <v>1280000</v>
      </c>
      <c r="I118" s="297"/>
      <c r="J118" s="287">
        <f>J78</f>
        <v>30</v>
      </c>
      <c r="K118" s="298"/>
      <c r="L118" s="287" t="e">
        <f>J118*$S$210</f>
        <v>#REF!</v>
      </c>
      <c r="M118" s="287" t="e">
        <f>L118*D118</f>
        <v>#REF!</v>
      </c>
      <c r="N118" s="287" t="e">
        <f>M118*C118</f>
        <v>#REF!</v>
      </c>
      <c r="Q118" s="287" t="e">
        <f>ROUND(((L118*(D118*C118))/H118)*$S$212,2)</f>
        <v>#REF!</v>
      </c>
      <c r="R118" s="287" t="e">
        <f>H118*Q118</f>
        <v>#REF!</v>
      </c>
      <c r="S118" s="291" t="e">
        <f>N118-R118</f>
        <v>#REF!</v>
      </c>
    </row>
    <row r="119" spans="2:19" ht="15" customHeight="1" thickBot="1">
      <c r="B119" s="293" t="s">
        <v>526</v>
      </c>
      <c r="C119" s="292">
        <f>SUM(C117:C118)</f>
        <v>5000</v>
      </c>
      <c r="D119" s="292">
        <f>SUM(D117:D118)</f>
        <v>32</v>
      </c>
      <c r="E119" s="292">
        <f>SUM(E117:E118)</f>
        <v>16</v>
      </c>
      <c r="F119" s="292">
        <f t="shared" ref="F119:H119" si="84">SUM(F117:F118)</f>
        <v>76000</v>
      </c>
      <c r="G119" s="292">
        <f t="shared" si="84"/>
        <v>20</v>
      </c>
      <c r="H119" s="292">
        <f t="shared" si="84"/>
        <v>6464000</v>
      </c>
      <c r="I119" s="294"/>
      <c r="J119" s="295">
        <f t="shared" ref="J119" si="85">SUM(J117:J118)</f>
        <v>380</v>
      </c>
      <c r="K119" s="296"/>
      <c r="L119" s="295" t="e">
        <f t="shared" ref="L119:N119" si="86">SUM(L117:L118)</f>
        <v>#REF!</v>
      </c>
      <c r="M119" s="295" t="e">
        <f t="shared" si="86"/>
        <v>#REF!</v>
      </c>
      <c r="N119" s="295" t="e">
        <f t="shared" si="86"/>
        <v>#REF!</v>
      </c>
      <c r="O119" s="296"/>
      <c r="P119" s="296"/>
      <c r="Q119" s="296"/>
      <c r="R119" s="295" t="e">
        <f t="shared" ref="R119:S119" si="87">SUM(R117:R118)</f>
        <v>#REF!</v>
      </c>
      <c r="S119" s="295" t="e">
        <f t="shared" si="87"/>
        <v>#REF!</v>
      </c>
    </row>
    <row r="120" spans="2:19" ht="15" customHeight="1" thickTop="1">
      <c r="B120" s="293"/>
      <c r="C120" s="305" t="s">
        <v>538</v>
      </c>
      <c r="D120" s="286">
        <f>D119*C119</f>
        <v>160000</v>
      </c>
      <c r="I120" s="297"/>
      <c r="K120" s="297"/>
      <c r="O120" s="297"/>
      <c r="P120" s="297"/>
      <c r="Q120" s="297"/>
    </row>
    <row r="121" spans="2:19" ht="15" customHeight="1">
      <c r="B121" s="293" t="s">
        <v>552</v>
      </c>
      <c r="I121" s="297"/>
      <c r="K121" s="297"/>
      <c r="O121" s="297"/>
      <c r="P121" s="297"/>
      <c r="Q121" s="297"/>
    </row>
    <row r="122" spans="2:19" ht="15" customHeight="1">
      <c r="B122" s="293"/>
      <c r="I122" s="297"/>
      <c r="K122" s="297"/>
      <c r="O122" s="297"/>
      <c r="P122" s="297"/>
      <c r="Q122" s="297"/>
    </row>
    <row r="123" spans="2:19" ht="15" customHeight="1">
      <c r="B123" s="293" t="s">
        <v>563</v>
      </c>
      <c r="C123" s="286">
        <f>C117</f>
        <v>3000</v>
      </c>
      <c r="D123" s="286">
        <f t="shared" ref="D123:G124" si="88">D117</f>
        <v>12</v>
      </c>
      <c r="E123" s="286">
        <f t="shared" si="88"/>
        <v>12</v>
      </c>
      <c r="F123" s="286">
        <f>D123*C123</f>
        <v>36000</v>
      </c>
      <c r="G123" s="286">
        <f t="shared" si="88"/>
        <v>12</v>
      </c>
      <c r="H123" s="286">
        <f>C123*D123*E123*G123</f>
        <v>5184000</v>
      </c>
      <c r="I123" s="297"/>
      <c r="J123" s="289">
        <f>J117</f>
        <v>350</v>
      </c>
      <c r="K123" s="287"/>
      <c r="L123" s="287" t="e">
        <f>J123*$S$210</f>
        <v>#REF!</v>
      </c>
      <c r="M123" s="287" t="e">
        <f>L123*D123</f>
        <v>#REF!</v>
      </c>
      <c r="N123" s="287" t="e">
        <f>M123*C123</f>
        <v>#REF!</v>
      </c>
      <c r="O123" s="297"/>
      <c r="P123" s="297"/>
      <c r="Q123" s="298" t="e">
        <f>ROUND(((L123*(D123*C123))/H123)*$S$212,2)</f>
        <v>#REF!</v>
      </c>
      <c r="R123" s="287" t="e">
        <f t="shared" ref="R123:R124" si="89">H123*Q123</f>
        <v>#REF!</v>
      </c>
      <c r="S123" s="291" t="e">
        <f>N123-R123</f>
        <v>#REF!</v>
      </c>
    </row>
    <row r="124" spans="2:19" ht="15" customHeight="1">
      <c r="B124" s="293" t="s">
        <v>564</v>
      </c>
      <c r="C124" s="286">
        <f>C118</f>
        <v>2000</v>
      </c>
      <c r="D124" s="286">
        <f t="shared" si="88"/>
        <v>20</v>
      </c>
      <c r="E124" s="286">
        <f t="shared" si="88"/>
        <v>4</v>
      </c>
      <c r="F124" s="286">
        <f>D124*C124</f>
        <v>40000</v>
      </c>
      <c r="G124" s="286">
        <f t="shared" si="88"/>
        <v>8</v>
      </c>
      <c r="H124" s="286">
        <f>C124*D124*E124*G124</f>
        <v>1280000</v>
      </c>
      <c r="I124" s="297"/>
      <c r="J124" s="289">
        <f>J118</f>
        <v>30</v>
      </c>
      <c r="K124" s="298"/>
      <c r="L124" s="287" t="e">
        <f>J124*$S$210</f>
        <v>#REF!</v>
      </c>
      <c r="M124" s="287" t="e">
        <f>L124*D124</f>
        <v>#REF!</v>
      </c>
      <c r="N124" s="287" t="e">
        <f>M124*C124</f>
        <v>#REF!</v>
      </c>
      <c r="O124" s="297"/>
      <c r="P124" s="297"/>
      <c r="Q124" s="298" t="e">
        <f>ROUND(((L124*(D124*C124))/H124)*$S$212,2)</f>
        <v>#REF!</v>
      </c>
      <c r="R124" s="287" t="e">
        <f t="shared" si="89"/>
        <v>#REF!</v>
      </c>
      <c r="S124" s="291" t="e">
        <f>N124-R124</f>
        <v>#REF!</v>
      </c>
    </row>
    <row r="125" spans="2:19" ht="15" customHeight="1" thickBot="1">
      <c r="B125" s="293" t="s">
        <v>526</v>
      </c>
      <c r="C125" s="292">
        <f>SUM(C123:C124)</f>
        <v>5000</v>
      </c>
      <c r="D125" s="292">
        <f>SUM(D123:D124)</f>
        <v>32</v>
      </c>
      <c r="E125" s="292">
        <f>SUM(E123:E124)</f>
        <v>16</v>
      </c>
      <c r="F125" s="292">
        <f t="shared" ref="F125:H125" si="90">SUM(F123:F124)</f>
        <v>76000</v>
      </c>
      <c r="G125" s="292">
        <f t="shared" si="90"/>
        <v>20</v>
      </c>
      <c r="H125" s="292">
        <f t="shared" si="90"/>
        <v>6464000</v>
      </c>
      <c r="I125" s="294"/>
      <c r="J125" s="295">
        <f t="shared" ref="J125" si="91">SUM(J123:J124)</f>
        <v>380</v>
      </c>
      <c r="K125" s="296"/>
      <c r="L125" s="295" t="e">
        <f t="shared" ref="L125:N125" si="92">SUM(L123:L124)</f>
        <v>#REF!</v>
      </c>
      <c r="M125" s="295" t="e">
        <f t="shared" si="92"/>
        <v>#REF!</v>
      </c>
      <c r="N125" s="295" t="e">
        <f t="shared" si="92"/>
        <v>#REF!</v>
      </c>
      <c r="O125" s="296"/>
      <c r="P125" s="296"/>
      <c r="Q125" s="296"/>
      <c r="R125" s="295" t="e">
        <f t="shared" ref="R125:S125" si="93">SUM(R123:R124)</f>
        <v>#REF!</v>
      </c>
      <c r="S125" s="295" t="e">
        <f t="shared" si="93"/>
        <v>#REF!</v>
      </c>
    </row>
    <row r="126" spans="2:19" ht="15" customHeight="1" thickTop="1">
      <c r="B126" s="293"/>
      <c r="C126" s="305" t="s">
        <v>538</v>
      </c>
      <c r="D126" s="306">
        <f>D125*C125</f>
        <v>160000</v>
      </c>
      <c r="E126" s="294"/>
      <c r="F126" s="294"/>
      <c r="G126" s="294"/>
      <c r="H126" s="294"/>
      <c r="I126" s="294"/>
      <c r="J126" s="294"/>
      <c r="K126" s="294"/>
      <c r="L126" s="294"/>
      <c r="M126" s="294"/>
      <c r="N126" s="294"/>
      <c r="O126" s="294"/>
      <c r="P126" s="294"/>
      <c r="Q126" s="294"/>
      <c r="R126" s="294"/>
      <c r="S126" s="294"/>
    </row>
    <row r="127" spans="2:19" ht="15" customHeight="1">
      <c r="B127" s="293" t="s">
        <v>553</v>
      </c>
      <c r="I127" s="297"/>
      <c r="K127" s="297"/>
      <c r="O127" s="297"/>
      <c r="P127" s="297"/>
      <c r="Q127" s="297"/>
    </row>
    <row r="129" spans="2:19" ht="15" customHeight="1">
      <c r="B129" s="293" t="s">
        <v>566</v>
      </c>
      <c r="C129">
        <f>C112</f>
        <v>500</v>
      </c>
      <c r="D129">
        <f t="shared" ref="D129:G129" si="94">D112</f>
        <v>4</v>
      </c>
      <c r="E129">
        <f t="shared" si="94"/>
        <v>1</v>
      </c>
      <c r="F129" s="286">
        <f>D129*C129</f>
        <v>2000</v>
      </c>
      <c r="G129">
        <f t="shared" si="94"/>
        <v>10</v>
      </c>
      <c r="H129" s="286">
        <f>C129*D129*E129*G129</f>
        <v>20000</v>
      </c>
      <c r="I129" s="297"/>
      <c r="J129" s="290">
        <f>J112</f>
        <v>500</v>
      </c>
      <c r="K129" s="297"/>
      <c r="L129" s="287" t="e">
        <f>J129*$S$210</f>
        <v>#REF!</v>
      </c>
      <c r="M129" s="287" t="e">
        <f>L129*D129</f>
        <v>#REF!</v>
      </c>
      <c r="N129" s="287" t="e">
        <f>M129*C129</f>
        <v>#REF!</v>
      </c>
      <c r="O129" s="297"/>
      <c r="P129" s="297"/>
      <c r="Q129" s="298" t="e">
        <f>ROUND(((L129*(D129*C129))/H129)*$S$213,2)</f>
        <v>#REF!</v>
      </c>
      <c r="R129" s="287" t="e">
        <f>H129*Q129</f>
        <v>#REF!</v>
      </c>
      <c r="S129" s="291" t="e">
        <f>N129-R129</f>
        <v>#REF!</v>
      </c>
    </row>
    <row r="130" spans="2:19" ht="15" customHeight="1" thickBot="1">
      <c r="B130" s="293" t="s">
        <v>526</v>
      </c>
      <c r="C130" s="292">
        <f>SUM(C128:C129)</f>
        <v>500</v>
      </c>
      <c r="D130" s="292">
        <f>SUM(D128:D129)</f>
        <v>4</v>
      </c>
      <c r="E130" s="292">
        <f>SUM(E128:E129)</f>
        <v>1</v>
      </c>
      <c r="F130" s="292">
        <f t="shared" ref="F130:H130" si="95">SUM(F128:F129)</f>
        <v>2000</v>
      </c>
      <c r="G130" s="292">
        <f t="shared" si="95"/>
        <v>10</v>
      </c>
      <c r="H130" s="292">
        <f t="shared" si="95"/>
        <v>20000</v>
      </c>
      <c r="I130" s="294"/>
      <c r="J130" s="295">
        <f t="shared" ref="J130" si="96">SUM(J128:J129)</f>
        <v>500</v>
      </c>
      <c r="K130" s="296"/>
      <c r="L130" s="295" t="e">
        <f t="shared" ref="L130:N130" si="97">SUM(L128:L129)</f>
        <v>#REF!</v>
      </c>
      <c r="M130" s="295" t="e">
        <f t="shared" si="97"/>
        <v>#REF!</v>
      </c>
      <c r="N130" s="295" t="e">
        <f t="shared" si="97"/>
        <v>#REF!</v>
      </c>
      <c r="O130" s="296"/>
      <c r="P130" s="296"/>
      <c r="Q130" s="296"/>
      <c r="R130" s="295" t="e">
        <f t="shared" ref="R130:S130" si="98">SUM(R128:R129)</f>
        <v>#REF!</v>
      </c>
      <c r="S130" s="295" t="e">
        <f t="shared" si="98"/>
        <v>#REF!</v>
      </c>
    </row>
    <row r="131" spans="2:19" ht="15" customHeight="1" thickTop="1">
      <c r="C131" s="305" t="s">
        <v>538</v>
      </c>
      <c r="D131" s="286">
        <f>D130*C130</f>
        <v>2000</v>
      </c>
      <c r="H131" s="286"/>
      <c r="I131" s="297"/>
      <c r="J131" s="290"/>
      <c r="K131" s="297"/>
      <c r="L131" s="287"/>
      <c r="M131" s="304"/>
      <c r="N131" s="291"/>
      <c r="R131" s="304"/>
      <c r="S131" s="291"/>
    </row>
    <row r="132" spans="2:19" ht="15" customHeight="1">
      <c r="B132" s="293" t="s">
        <v>567</v>
      </c>
      <c r="I132" s="297"/>
      <c r="K132" s="297"/>
      <c r="O132" s="297"/>
      <c r="P132" s="297"/>
      <c r="Q132" s="297"/>
    </row>
    <row r="133" spans="2:19" ht="15" customHeight="1">
      <c r="B133" s="293"/>
      <c r="I133" s="297"/>
      <c r="K133" s="297"/>
      <c r="O133" s="297"/>
      <c r="P133" s="297"/>
      <c r="Q133" s="297"/>
    </row>
    <row r="134" spans="2:19" ht="15" customHeight="1">
      <c r="B134" s="293" t="s">
        <v>165</v>
      </c>
      <c r="C134">
        <f>C112</f>
        <v>500</v>
      </c>
      <c r="D134">
        <f t="shared" ref="D134:G134" si="99">D112</f>
        <v>4</v>
      </c>
      <c r="E134">
        <f t="shared" si="99"/>
        <v>1</v>
      </c>
      <c r="F134" s="286">
        <f>D134*C134</f>
        <v>2000</v>
      </c>
      <c r="G134">
        <f t="shared" si="99"/>
        <v>10</v>
      </c>
      <c r="H134" s="286">
        <f>C134*D134*E134*G134</f>
        <v>20000</v>
      </c>
      <c r="I134" s="297"/>
      <c r="J134" s="290">
        <f>J112</f>
        <v>500</v>
      </c>
      <c r="K134" s="297"/>
      <c r="L134" s="287" t="e">
        <f>J134*$S$210</f>
        <v>#REF!</v>
      </c>
      <c r="M134" s="287" t="e">
        <f>L134*D134</f>
        <v>#REF!</v>
      </c>
      <c r="N134" s="287" t="e">
        <f>M134*C134</f>
        <v>#REF!</v>
      </c>
      <c r="O134" s="297"/>
      <c r="P134" s="297"/>
      <c r="Q134" s="298" t="e">
        <f>ROUND(((L134*(D134*C134))/H134)*$S$213,2)</f>
        <v>#REF!</v>
      </c>
      <c r="R134" s="287" t="e">
        <f t="shared" ref="R134" si="100">H134*Q134</f>
        <v>#REF!</v>
      </c>
      <c r="S134" s="291" t="e">
        <f>N134-R134</f>
        <v>#REF!</v>
      </c>
    </row>
    <row r="135" spans="2:19" ht="15" customHeight="1" thickBot="1">
      <c r="B135" s="293" t="s">
        <v>526</v>
      </c>
      <c r="C135" s="292">
        <f>SUM(C133:C134)</f>
        <v>500</v>
      </c>
      <c r="D135" s="292">
        <f>SUM(D133:D134)</f>
        <v>4</v>
      </c>
      <c r="E135" s="292">
        <f>SUM(E133:E134)</f>
        <v>1</v>
      </c>
      <c r="F135" s="292">
        <f t="shared" ref="F135:H135" si="101">SUM(F133:F134)</f>
        <v>2000</v>
      </c>
      <c r="G135" s="292">
        <f t="shared" si="101"/>
        <v>10</v>
      </c>
      <c r="H135" s="292">
        <f t="shared" si="101"/>
        <v>20000</v>
      </c>
      <c r="I135" s="294"/>
      <c r="J135" s="295">
        <f t="shared" ref="J135" si="102">SUM(J133:J134)</f>
        <v>500</v>
      </c>
      <c r="K135" s="296"/>
      <c r="L135" s="295" t="e">
        <f t="shared" ref="L135:N135" si="103">SUM(L133:L134)</f>
        <v>#REF!</v>
      </c>
      <c r="M135" s="295" t="e">
        <f t="shared" si="103"/>
        <v>#REF!</v>
      </c>
      <c r="N135" s="295" t="e">
        <f t="shared" si="103"/>
        <v>#REF!</v>
      </c>
      <c r="O135" s="296"/>
      <c r="P135" s="296"/>
      <c r="Q135" s="296"/>
      <c r="R135" s="295" t="e">
        <f>SUM(R134:R134)</f>
        <v>#REF!</v>
      </c>
      <c r="S135" s="295" t="e">
        <f>SUM(S134:S134)</f>
        <v>#REF!</v>
      </c>
    </row>
    <row r="136" spans="2:19" ht="15" customHeight="1" thickTop="1">
      <c r="B136" s="293"/>
      <c r="C136" s="305" t="s">
        <v>538</v>
      </c>
      <c r="D136" s="306">
        <f>D135*C135</f>
        <v>2000</v>
      </c>
      <c r="E136" s="294"/>
      <c r="F136" s="294"/>
      <c r="G136" s="294"/>
      <c r="H136" s="294"/>
      <c r="I136" s="294"/>
      <c r="J136" s="294"/>
      <c r="K136" s="294"/>
      <c r="L136" s="294"/>
      <c r="M136" s="294"/>
      <c r="N136" s="294"/>
      <c r="O136" s="294"/>
      <c r="P136" s="294"/>
      <c r="Q136" s="294"/>
      <c r="R136" s="294"/>
      <c r="S136" s="294"/>
    </row>
    <row r="137" spans="2:19" ht="15" customHeight="1">
      <c r="B137" s="293" t="s">
        <v>555</v>
      </c>
      <c r="I137" s="297"/>
      <c r="K137" s="297"/>
      <c r="O137" s="297"/>
      <c r="P137" s="297"/>
      <c r="Q137" s="297"/>
    </row>
    <row r="138" spans="2:19" ht="15" customHeight="1">
      <c r="B138" s="293"/>
      <c r="I138" s="297"/>
      <c r="K138" s="297"/>
      <c r="O138" s="297"/>
      <c r="P138" s="297"/>
      <c r="Q138" s="297"/>
    </row>
    <row r="139" spans="2:19" ht="15" customHeight="1">
      <c r="B139" s="293" t="s">
        <v>568</v>
      </c>
      <c r="C139">
        <f>C134</f>
        <v>500</v>
      </c>
      <c r="D139">
        <f t="shared" ref="D139:G139" si="104">D134</f>
        <v>4</v>
      </c>
      <c r="E139">
        <f t="shared" si="104"/>
        <v>1</v>
      </c>
      <c r="F139" s="286">
        <f>D139*C139</f>
        <v>2000</v>
      </c>
      <c r="G139">
        <f t="shared" si="104"/>
        <v>10</v>
      </c>
      <c r="H139" s="286">
        <f>C139*D139*E139*G139</f>
        <v>20000</v>
      </c>
      <c r="I139" s="297"/>
      <c r="J139" s="290">
        <f>J112</f>
        <v>500</v>
      </c>
      <c r="K139" s="297"/>
      <c r="L139" s="287" t="e">
        <f>J139*$S$210</f>
        <v>#REF!</v>
      </c>
      <c r="M139" s="287" t="e">
        <f>L139*D139</f>
        <v>#REF!</v>
      </c>
      <c r="N139" s="287" t="e">
        <f>M139*C139</f>
        <v>#REF!</v>
      </c>
      <c r="O139" s="297"/>
      <c r="P139" s="297"/>
      <c r="Q139" s="298" t="e">
        <f>ROUND(((L139*(D139*C139))/H139)*$S$213,2)</f>
        <v>#REF!</v>
      </c>
      <c r="R139" s="287" t="e">
        <f>H139*Q139</f>
        <v>#REF!</v>
      </c>
      <c r="S139" s="291" t="e">
        <f>N139-R139</f>
        <v>#REF!</v>
      </c>
    </row>
    <row r="140" spans="2:19" ht="15" customHeight="1" thickBot="1">
      <c r="B140" s="293" t="s">
        <v>526</v>
      </c>
      <c r="C140" s="292">
        <f>SUM(C138:C139)</f>
        <v>500</v>
      </c>
      <c r="D140" s="292">
        <f>SUM(D138:D139)</f>
        <v>4</v>
      </c>
      <c r="E140" s="292">
        <f>SUM(E138:E139)</f>
        <v>1</v>
      </c>
      <c r="F140" s="292">
        <f t="shared" ref="F140:H140" si="105">SUM(F138:F139)</f>
        <v>2000</v>
      </c>
      <c r="G140" s="292">
        <f t="shared" si="105"/>
        <v>10</v>
      </c>
      <c r="H140" s="292">
        <f t="shared" si="105"/>
        <v>20000</v>
      </c>
      <c r="I140" s="294"/>
      <c r="J140" s="295">
        <f t="shared" ref="J140" si="106">SUM(J138:J139)</f>
        <v>500</v>
      </c>
      <c r="K140" s="296"/>
      <c r="L140" s="295" t="e">
        <f t="shared" ref="L140:N140" si="107">SUM(L138:L139)</f>
        <v>#REF!</v>
      </c>
      <c r="M140" s="295" t="e">
        <f t="shared" si="107"/>
        <v>#REF!</v>
      </c>
      <c r="N140" s="295" t="e">
        <f t="shared" si="107"/>
        <v>#REF!</v>
      </c>
      <c r="O140" s="296"/>
      <c r="P140" s="296"/>
      <c r="Q140" s="296"/>
      <c r="R140" s="295" t="e">
        <f t="shared" ref="R140:S140" si="108">SUM(R138:R139)</f>
        <v>#REF!</v>
      </c>
      <c r="S140" s="295" t="e">
        <f t="shared" si="108"/>
        <v>#REF!</v>
      </c>
    </row>
    <row r="141" spans="2:19" ht="15" customHeight="1" thickTop="1" thickBot="1">
      <c r="C141" s="305"/>
      <c r="D141" s="286"/>
      <c r="E141" t="s">
        <v>144</v>
      </c>
      <c r="F141" s="288">
        <f>F102+F108+F113+F119+F125+F135+F140</f>
        <v>322000</v>
      </c>
      <c r="H141" s="286"/>
      <c r="I141" s="297"/>
      <c r="J141" s="290"/>
      <c r="K141" s="297"/>
      <c r="L141" s="287"/>
      <c r="M141" s="304" t="s">
        <v>530</v>
      </c>
      <c r="N141" s="291" t="e">
        <f>(N130+N135+N140+N125+N119+N113+N108)/8</f>
        <v>#REF!</v>
      </c>
      <c r="R141" s="304" t="s">
        <v>530</v>
      </c>
      <c r="S141" s="291" t="e">
        <f>(S102+S108+S113+S119+S125+S125+S130+S135+S140)/8</f>
        <v>#REF!</v>
      </c>
    </row>
    <row r="142" spans="2:19" ht="15" customHeight="1" thickBot="1">
      <c r="C142" s="305"/>
      <c r="D142" s="286"/>
      <c r="H142" s="286"/>
      <c r="I142" s="297"/>
      <c r="J142" s="290"/>
      <c r="K142" s="297"/>
      <c r="L142" s="287"/>
      <c r="M142" s="287"/>
      <c r="N142" s="300"/>
      <c r="O142" s="291"/>
      <c r="S142" s="303" t="e">
        <f>S102+S108+S113+S119+S125+S130+S135+S140</f>
        <v>#REF!</v>
      </c>
    </row>
    <row r="145" spans="2:21" ht="15" customHeight="1" thickBot="1">
      <c r="B145" s="1142" t="s">
        <v>545</v>
      </c>
      <c r="C145" s="1143"/>
      <c r="D145" s="1143"/>
      <c r="E145" s="1143"/>
      <c r="F145" s="1143"/>
      <c r="G145" s="1143"/>
      <c r="H145" s="1143"/>
      <c r="I145" s="1143"/>
      <c r="J145" s="1143"/>
      <c r="K145" s="1143"/>
      <c r="L145" s="1143"/>
      <c r="M145" s="1143"/>
      <c r="N145" s="1143"/>
      <c r="O145" s="1143"/>
      <c r="P145" s="1143"/>
      <c r="Q145" s="1143"/>
      <c r="R145" s="1143"/>
      <c r="S145" s="1143"/>
      <c r="T145" s="1143"/>
      <c r="U145" s="1144"/>
    </row>
    <row r="146" spans="2:21" ht="15" customHeight="1" thickBot="1">
      <c r="B146" s="297"/>
      <c r="C146" s="1139" t="s">
        <v>521</v>
      </c>
      <c r="D146" s="1140"/>
      <c r="E146" s="1140"/>
      <c r="F146" s="1140"/>
      <c r="G146" s="1140"/>
      <c r="H146" s="1141"/>
      <c r="I146" s="297"/>
      <c r="J146" s="1139" t="s">
        <v>522</v>
      </c>
      <c r="K146" s="1140"/>
      <c r="L146" s="1140"/>
      <c r="M146" s="1140"/>
      <c r="N146" s="1141"/>
      <c r="O146" s="297"/>
      <c r="P146" s="297"/>
      <c r="Q146" s="1139" t="s">
        <v>522</v>
      </c>
      <c r="R146" s="1140"/>
      <c r="S146" s="1140"/>
      <c r="T146" s="1140"/>
      <c r="U146" s="1141"/>
    </row>
    <row r="147" spans="2:21" ht="15" customHeight="1"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  <c r="P147" s="299"/>
      <c r="Q147" s="299"/>
      <c r="R147" s="299"/>
      <c r="S147" s="299"/>
    </row>
    <row r="148" spans="2:21" ht="15" customHeight="1">
      <c r="C148" s="299" t="s">
        <v>17</v>
      </c>
      <c r="D148" s="299" t="s">
        <v>515</v>
      </c>
      <c r="E148" s="299" t="s">
        <v>516</v>
      </c>
      <c r="F148" s="299"/>
      <c r="G148" s="299" t="s">
        <v>517</v>
      </c>
      <c r="H148" s="299" t="s">
        <v>149</v>
      </c>
      <c r="I148" s="299"/>
      <c r="J148" s="299" t="s">
        <v>519</v>
      </c>
      <c r="K148" s="299"/>
      <c r="L148" s="299" t="s">
        <v>518</v>
      </c>
      <c r="M148" s="299" t="s">
        <v>520</v>
      </c>
      <c r="N148" s="299" t="s">
        <v>70</v>
      </c>
      <c r="O148" s="299"/>
      <c r="P148" s="299"/>
      <c r="Q148" s="299" t="s">
        <v>523</v>
      </c>
      <c r="R148" s="299" t="s">
        <v>524</v>
      </c>
      <c r="S148" s="299" t="s">
        <v>525</v>
      </c>
    </row>
    <row r="149" spans="2:21" ht="15" customHeight="1">
      <c r="B149" s="293" t="s">
        <v>527</v>
      </c>
    </row>
    <row r="150" spans="2:21" ht="15" customHeight="1">
      <c r="B150" s="293"/>
    </row>
    <row r="151" spans="2:21" ht="15" customHeight="1">
      <c r="B151" s="293" t="s">
        <v>165</v>
      </c>
      <c r="C151" s="286">
        <f>C100</f>
        <v>4000</v>
      </c>
      <c r="D151" s="286">
        <f t="shared" ref="D151:E152" si="109">D100</f>
        <v>12</v>
      </c>
      <c r="E151" s="286">
        <f t="shared" si="109"/>
        <v>24</v>
      </c>
      <c r="F151" s="286">
        <f>D151*C151</f>
        <v>48000</v>
      </c>
      <c r="G151" s="286">
        <f>G100</f>
        <v>10</v>
      </c>
      <c r="H151" s="286">
        <f>C151*D151*E151*G151</f>
        <v>11520000</v>
      </c>
      <c r="I151" s="297"/>
      <c r="J151" s="287">
        <f>J100</f>
        <v>150</v>
      </c>
      <c r="K151" s="287"/>
      <c r="L151" s="287" t="e">
        <f>J151*$S$210</f>
        <v>#REF!</v>
      </c>
      <c r="M151" s="287" t="e">
        <f>L151*D151</f>
        <v>#REF!</v>
      </c>
      <c r="N151" s="287" t="e">
        <f>M151*C151</f>
        <v>#REF!</v>
      </c>
      <c r="Q151" s="287" t="e">
        <f>ROUND(((L151*(D151*C151))/H151)*$S$211,2)</f>
        <v>#REF!</v>
      </c>
      <c r="R151" s="287" t="e">
        <f>H151*Q151</f>
        <v>#REF!</v>
      </c>
      <c r="S151" s="291" t="e">
        <f>N151-R151</f>
        <v>#REF!</v>
      </c>
    </row>
    <row r="152" spans="2:21" ht="15" customHeight="1">
      <c r="B152" s="293" t="s">
        <v>234</v>
      </c>
      <c r="C152" s="286">
        <f>C101</f>
        <v>2000</v>
      </c>
      <c r="D152" s="286">
        <f t="shared" si="109"/>
        <v>20</v>
      </c>
      <c r="E152" s="286">
        <f t="shared" si="109"/>
        <v>4</v>
      </c>
      <c r="F152" s="286">
        <f>D152*C152</f>
        <v>40000</v>
      </c>
      <c r="G152" s="286">
        <f t="shared" ref="G152" si="110">G101</f>
        <v>12</v>
      </c>
      <c r="H152" s="286">
        <f>C152*D152*E152*G152</f>
        <v>1920000</v>
      </c>
      <c r="I152" s="297"/>
      <c r="J152" s="287">
        <f>J101</f>
        <v>30</v>
      </c>
      <c r="K152" s="298"/>
      <c r="L152" s="287" t="e">
        <f>J152*$S$210</f>
        <v>#REF!</v>
      </c>
      <c r="M152" s="287" t="e">
        <f>L152*D152</f>
        <v>#REF!</v>
      </c>
      <c r="N152" s="287" t="e">
        <f>M152*C152</f>
        <v>#REF!</v>
      </c>
      <c r="Q152" s="287" t="e">
        <f>ROUND(((L152*(D152*C152))/H152)*$S$211,2)</f>
        <v>#REF!</v>
      </c>
      <c r="R152" s="287" t="e">
        <f>H152*Q152</f>
        <v>#REF!</v>
      </c>
      <c r="S152" s="291" t="e">
        <f>N152-R152</f>
        <v>#REF!</v>
      </c>
    </row>
    <row r="153" spans="2:21" ht="15" customHeight="1" thickBot="1">
      <c r="B153" s="293" t="s">
        <v>526</v>
      </c>
      <c r="C153" s="292">
        <f>SUM(C151:C152)</f>
        <v>6000</v>
      </c>
      <c r="D153" s="292">
        <f>SUM(D151:D152)</f>
        <v>32</v>
      </c>
      <c r="E153" s="292">
        <f>SUM(E151:E152)</f>
        <v>28</v>
      </c>
      <c r="F153" s="292">
        <f t="shared" ref="F153:H153" si="111">SUM(F151:F152)</f>
        <v>88000</v>
      </c>
      <c r="G153" s="292">
        <f t="shared" si="111"/>
        <v>22</v>
      </c>
      <c r="H153" s="292">
        <f t="shared" si="111"/>
        <v>13440000</v>
      </c>
      <c r="I153" s="294"/>
      <c r="J153" s="295">
        <f t="shared" ref="J153" si="112">SUM(J151:J152)</f>
        <v>180</v>
      </c>
      <c r="K153" s="296"/>
      <c r="L153" s="295" t="e">
        <f t="shared" ref="L153:N153" si="113">SUM(L151:L152)</f>
        <v>#REF!</v>
      </c>
      <c r="M153" s="295" t="e">
        <f t="shared" si="113"/>
        <v>#REF!</v>
      </c>
      <c r="N153" s="295" t="e">
        <f t="shared" si="113"/>
        <v>#REF!</v>
      </c>
      <c r="O153" s="296"/>
      <c r="P153" s="296"/>
      <c r="Q153" s="296"/>
      <c r="R153" s="295" t="e">
        <f t="shared" ref="R153:S153" si="114">SUM(R151:R152)</f>
        <v>#REF!</v>
      </c>
      <c r="S153" s="295" t="e">
        <f t="shared" si="114"/>
        <v>#REF!</v>
      </c>
    </row>
    <row r="154" spans="2:21" ht="15" customHeight="1" thickTop="1">
      <c r="B154" s="293"/>
      <c r="C154" s="305" t="s">
        <v>538</v>
      </c>
      <c r="D154" s="286">
        <f>D153*C153</f>
        <v>192000</v>
      </c>
      <c r="I154" s="297"/>
      <c r="K154" s="297"/>
      <c r="O154" s="297"/>
      <c r="P154" s="297"/>
      <c r="Q154" s="297"/>
    </row>
    <row r="155" spans="2:21" ht="15" customHeight="1">
      <c r="B155" s="293" t="s">
        <v>528</v>
      </c>
      <c r="I155" s="297"/>
      <c r="K155" s="297"/>
      <c r="O155" s="297"/>
      <c r="P155" s="297"/>
      <c r="Q155" s="297"/>
    </row>
    <row r="156" spans="2:21" ht="15" customHeight="1">
      <c r="B156" s="293"/>
      <c r="I156" s="297"/>
      <c r="K156" s="297"/>
      <c r="O156" s="297"/>
      <c r="P156" s="297"/>
      <c r="Q156" s="297"/>
    </row>
    <row r="157" spans="2:21" ht="15" customHeight="1">
      <c r="B157" s="293" t="s">
        <v>558</v>
      </c>
      <c r="C157" s="286">
        <f>C106</f>
        <v>3000</v>
      </c>
      <c r="D157" s="286">
        <f t="shared" ref="D157:E158" si="115">D106</f>
        <v>12</v>
      </c>
      <c r="E157" s="286">
        <f t="shared" si="115"/>
        <v>12</v>
      </c>
      <c r="F157" s="286">
        <f>D157*C157</f>
        <v>36000</v>
      </c>
      <c r="G157" s="286">
        <f>G106</f>
        <v>12</v>
      </c>
      <c r="H157" s="286">
        <f t="shared" ref="H157:H158" si="116">C157*D157*E157*G157</f>
        <v>5184000</v>
      </c>
      <c r="I157" s="297"/>
      <c r="J157" s="290">
        <f>J106</f>
        <v>350</v>
      </c>
      <c r="K157" s="297"/>
      <c r="L157" s="287" t="e">
        <f>J157*$S$210</f>
        <v>#REF!</v>
      </c>
      <c r="M157" s="287" t="e">
        <f>L157*D157</f>
        <v>#REF!</v>
      </c>
      <c r="N157" s="287" t="e">
        <f>M157*C157</f>
        <v>#REF!</v>
      </c>
      <c r="O157" s="297"/>
      <c r="P157" s="297"/>
      <c r="Q157" s="298" t="e">
        <f>ROUND(((L157*(D157*C157))/H157)*$S$212,2)</f>
        <v>#REF!</v>
      </c>
      <c r="R157" s="287" t="e">
        <f t="shared" ref="R157:R158" si="117">H157*Q157</f>
        <v>#REF!</v>
      </c>
      <c r="S157" s="291" t="e">
        <f>N157-R157</f>
        <v>#REF!</v>
      </c>
    </row>
    <row r="158" spans="2:21" ht="15" customHeight="1">
      <c r="B158" s="293" t="s">
        <v>559</v>
      </c>
      <c r="C158" s="286">
        <f>C107</f>
        <v>2000</v>
      </c>
      <c r="D158" s="286">
        <f t="shared" si="115"/>
        <v>20</v>
      </c>
      <c r="E158" s="286">
        <f t="shared" si="115"/>
        <v>4</v>
      </c>
      <c r="F158" s="286">
        <f>D158*C158</f>
        <v>40000</v>
      </c>
      <c r="G158" s="286">
        <f t="shared" ref="G158" si="118">G107</f>
        <v>8</v>
      </c>
      <c r="H158" s="286">
        <f t="shared" si="116"/>
        <v>1280000</v>
      </c>
      <c r="I158" s="297"/>
      <c r="J158" s="290">
        <f>J107</f>
        <v>30</v>
      </c>
      <c r="K158" s="297"/>
      <c r="L158" s="287" t="e">
        <f>J158*$S$210</f>
        <v>#REF!</v>
      </c>
      <c r="M158" s="287" t="e">
        <f>L158*D158</f>
        <v>#REF!</v>
      </c>
      <c r="N158" s="287" t="e">
        <f>M158*C158</f>
        <v>#REF!</v>
      </c>
      <c r="O158" s="297"/>
      <c r="P158" s="297"/>
      <c r="Q158" s="298" t="e">
        <f>ROUND(((L158*(D158*C158))/H158)*$S$212,2)</f>
        <v>#REF!</v>
      </c>
      <c r="R158" s="287" t="e">
        <f t="shared" si="117"/>
        <v>#REF!</v>
      </c>
      <c r="S158" s="291" t="e">
        <f>N158-R158</f>
        <v>#REF!</v>
      </c>
    </row>
    <row r="159" spans="2:21" ht="15" customHeight="1" thickBot="1">
      <c r="B159" s="293" t="s">
        <v>526</v>
      </c>
      <c r="C159" s="292">
        <f>SUM(C157:C158)</f>
        <v>5000</v>
      </c>
      <c r="D159" s="292">
        <f>SUM(D157:D158)</f>
        <v>32</v>
      </c>
      <c r="E159" s="292">
        <f>SUM(E157:E158)</f>
        <v>16</v>
      </c>
      <c r="F159" s="292">
        <f t="shared" ref="F159:H159" si="119">SUM(F157:F158)</f>
        <v>76000</v>
      </c>
      <c r="G159" s="292">
        <f t="shared" si="119"/>
        <v>20</v>
      </c>
      <c r="H159" s="292">
        <f t="shared" si="119"/>
        <v>6464000</v>
      </c>
      <c r="I159" s="294"/>
      <c r="J159" s="295">
        <f t="shared" ref="J159" si="120">SUM(J157:J158)</f>
        <v>380</v>
      </c>
      <c r="K159" s="296"/>
      <c r="L159" s="295" t="e">
        <f t="shared" ref="L159:N159" si="121">SUM(L157:L158)</f>
        <v>#REF!</v>
      </c>
      <c r="M159" s="295" t="e">
        <f t="shared" si="121"/>
        <v>#REF!</v>
      </c>
      <c r="N159" s="295" t="e">
        <f t="shared" si="121"/>
        <v>#REF!</v>
      </c>
      <c r="O159" s="296"/>
      <c r="P159" s="296"/>
      <c r="Q159" s="296"/>
      <c r="R159" s="295" t="e">
        <f t="shared" ref="R159:S159" si="122">SUM(R157:R158)</f>
        <v>#REF!</v>
      </c>
      <c r="S159" s="295" t="e">
        <f t="shared" si="122"/>
        <v>#REF!</v>
      </c>
    </row>
    <row r="160" spans="2:21" ht="15" customHeight="1" thickTop="1">
      <c r="B160" s="293"/>
      <c r="C160" s="305" t="s">
        <v>538</v>
      </c>
      <c r="D160" s="306">
        <f>D159*C159</f>
        <v>160000</v>
      </c>
      <c r="E160" s="294"/>
      <c r="F160" s="294"/>
      <c r="G160" s="294"/>
      <c r="H160" s="294"/>
      <c r="I160" s="294"/>
      <c r="J160" s="294"/>
      <c r="K160" s="294"/>
      <c r="L160" s="294"/>
      <c r="M160" s="294"/>
      <c r="N160" s="294"/>
      <c r="O160" s="294"/>
      <c r="P160" s="294"/>
      <c r="Q160" s="294"/>
      <c r="R160" s="294"/>
      <c r="S160" s="294"/>
    </row>
    <row r="161" spans="2:19" ht="15" customHeight="1">
      <c r="B161" s="293" t="s">
        <v>529</v>
      </c>
      <c r="I161" s="297"/>
      <c r="K161" s="297"/>
      <c r="O161" s="297"/>
      <c r="P161" s="297"/>
      <c r="Q161" s="297"/>
    </row>
    <row r="162" spans="2:19" ht="15" customHeight="1">
      <c r="B162" s="293"/>
      <c r="F162" s="286"/>
      <c r="I162" s="297"/>
      <c r="K162" s="297"/>
      <c r="O162" s="297"/>
      <c r="P162" s="297"/>
      <c r="Q162" s="297"/>
    </row>
    <row r="163" spans="2:19" ht="15" customHeight="1">
      <c r="B163" s="293" t="s">
        <v>560</v>
      </c>
      <c r="C163">
        <f>C112</f>
        <v>500</v>
      </c>
      <c r="D163">
        <f t="shared" ref="D163:E163" si="123">D112</f>
        <v>4</v>
      </c>
      <c r="E163">
        <f t="shared" si="123"/>
        <v>1</v>
      </c>
      <c r="F163" s="286">
        <f>D163*C163</f>
        <v>2000</v>
      </c>
      <c r="G163">
        <f t="shared" ref="G163" si="124">G112</f>
        <v>10</v>
      </c>
      <c r="H163" s="286">
        <f>C163*D163*E163*G163</f>
        <v>20000</v>
      </c>
      <c r="I163" s="297"/>
      <c r="J163" s="290">
        <f>J112</f>
        <v>500</v>
      </c>
      <c r="K163" s="297"/>
      <c r="L163" s="287" t="e">
        <f>J163*$S$210</f>
        <v>#REF!</v>
      </c>
      <c r="M163" s="287" t="e">
        <f>L163*D163</f>
        <v>#REF!</v>
      </c>
      <c r="N163" s="287" t="e">
        <f>M163*C163</f>
        <v>#REF!</v>
      </c>
      <c r="O163" s="297"/>
      <c r="P163" s="297"/>
      <c r="Q163" s="298" t="e">
        <f>ROUND(((L163*(D163*C163))/H163)*$S$213,2)</f>
        <v>#REF!</v>
      </c>
      <c r="R163" s="287" t="e">
        <f>H163*Q163</f>
        <v>#REF!</v>
      </c>
      <c r="S163" s="291" t="e">
        <f>N163-R163</f>
        <v>#REF!</v>
      </c>
    </row>
    <row r="164" spans="2:19" ht="15" customHeight="1" thickBot="1">
      <c r="B164" s="293" t="s">
        <v>526</v>
      </c>
      <c r="C164" s="292">
        <f>SUM(C162:C163)</f>
        <v>500</v>
      </c>
      <c r="D164" s="292">
        <f>SUM(D162:D163)</f>
        <v>4</v>
      </c>
      <c r="E164" s="292">
        <f>SUM(E162:E163)</f>
        <v>1</v>
      </c>
      <c r="F164" s="292">
        <f t="shared" ref="F164:H164" si="125">SUM(F162:F163)</f>
        <v>2000</v>
      </c>
      <c r="G164" s="292">
        <f t="shared" si="125"/>
        <v>10</v>
      </c>
      <c r="H164" s="292">
        <f t="shared" si="125"/>
        <v>20000</v>
      </c>
      <c r="I164" s="294"/>
      <c r="J164" s="295">
        <f t="shared" ref="J164" si="126">SUM(J162:J163)</f>
        <v>500</v>
      </c>
      <c r="K164" s="296"/>
      <c r="L164" s="295" t="e">
        <f t="shared" ref="L164:N164" si="127">SUM(L162:L163)</f>
        <v>#REF!</v>
      </c>
      <c r="M164" s="295" t="e">
        <f t="shared" si="127"/>
        <v>#REF!</v>
      </c>
      <c r="N164" s="295" t="e">
        <f t="shared" si="127"/>
        <v>#REF!</v>
      </c>
      <c r="O164" s="296"/>
      <c r="P164" s="296"/>
      <c r="Q164" s="296"/>
      <c r="R164" s="295" t="e">
        <f t="shared" ref="R164:S164" si="128">SUM(R162:R163)</f>
        <v>#REF!</v>
      </c>
      <c r="S164" s="295" t="e">
        <f t="shared" si="128"/>
        <v>#REF!</v>
      </c>
    </row>
    <row r="165" spans="2:19" ht="15" customHeight="1" thickTop="1">
      <c r="C165" s="305" t="s">
        <v>538</v>
      </c>
      <c r="D165" s="286">
        <f>D164*C164</f>
        <v>2000</v>
      </c>
      <c r="H165" s="286"/>
      <c r="I165" s="297"/>
      <c r="J165" s="290"/>
      <c r="K165" s="297"/>
      <c r="L165" s="287"/>
      <c r="M165" s="304"/>
      <c r="N165" s="291"/>
      <c r="R165" s="304" t="s">
        <v>530</v>
      </c>
      <c r="S165" s="291" t="e">
        <f>(S153+S159+S164)/5</f>
        <v>#REF!</v>
      </c>
    </row>
    <row r="166" spans="2:19" ht="15" customHeight="1">
      <c r="B166" s="293" t="s">
        <v>551</v>
      </c>
    </row>
    <row r="167" spans="2:19" ht="15" customHeight="1">
      <c r="B167" s="293"/>
    </row>
    <row r="168" spans="2:19" ht="15" customHeight="1">
      <c r="B168" s="293" t="s">
        <v>561</v>
      </c>
      <c r="C168" s="286">
        <f>C151</f>
        <v>4000</v>
      </c>
      <c r="D168" s="286">
        <f t="shared" ref="D168:G169" si="129">D151</f>
        <v>12</v>
      </c>
      <c r="E168" s="286">
        <f t="shared" si="129"/>
        <v>24</v>
      </c>
      <c r="F168" s="286">
        <f>D168*C168</f>
        <v>48000</v>
      </c>
      <c r="G168" s="286">
        <f t="shared" si="129"/>
        <v>10</v>
      </c>
      <c r="H168" s="286">
        <f>C168*D168*E168*G168</f>
        <v>11520000</v>
      </c>
      <c r="I168" s="297"/>
      <c r="J168" s="287">
        <f>J151</f>
        <v>150</v>
      </c>
      <c r="K168" s="287"/>
      <c r="L168" s="287" t="e">
        <f>J168*$S$210</f>
        <v>#REF!</v>
      </c>
      <c r="M168" s="287" t="e">
        <f>L168*D168</f>
        <v>#REF!</v>
      </c>
      <c r="N168" s="287" t="e">
        <f>M168*C168</f>
        <v>#REF!</v>
      </c>
      <c r="Q168" s="287" t="e">
        <f>ROUND(((L168*(D168*C168))/H168)*$S$211,2)</f>
        <v>#REF!</v>
      </c>
      <c r="R168" s="287" t="e">
        <f>H168*Q168</f>
        <v>#REF!</v>
      </c>
      <c r="S168" s="291" t="e">
        <f>N168-R168</f>
        <v>#REF!</v>
      </c>
    </row>
    <row r="169" spans="2:19" ht="15" customHeight="1">
      <c r="B169" s="293" t="s">
        <v>562</v>
      </c>
      <c r="C169" s="286">
        <f>C152</f>
        <v>2000</v>
      </c>
      <c r="D169" s="286">
        <f t="shared" si="129"/>
        <v>20</v>
      </c>
      <c r="E169" s="286">
        <f t="shared" si="129"/>
        <v>4</v>
      </c>
      <c r="F169" s="286">
        <f>D169*C169</f>
        <v>40000</v>
      </c>
      <c r="G169" s="286">
        <f t="shared" si="129"/>
        <v>12</v>
      </c>
      <c r="H169" s="286">
        <f>C169*D169*E169*G169</f>
        <v>1920000</v>
      </c>
      <c r="I169" s="297"/>
      <c r="J169" s="287">
        <f>J152</f>
        <v>30</v>
      </c>
      <c r="K169" s="298"/>
      <c r="L169" s="287" t="e">
        <f>J169*$S$210</f>
        <v>#REF!</v>
      </c>
      <c r="M169" s="287" t="e">
        <f>L169*D169</f>
        <v>#REF!</v>
      </c>
      <c r="N169" s="287" t="e">
        <f>M169*C169</f>
        <v>#REF!</v>
      </c>
      <c r="Q169" s="287" t="e">
        <f>ROUND(((L169*(D169*C169))/H169)*$S$211,2)</f>
        <v>#REF!</v>
      </c>
      <c r="R169" s="287" t="e">
        <f>H169*Q169</f>
        <v>#REF!</v>
      </c>
      <c r="S169" s="291" t="e">
        <f>N169-R169</f>
        <v>#REF!</v>
      </c>
    </row>
    <row r="170" spans="2:19" ht="15" customHeight="1" thickBot="1">
      <c r="B170" s="293" t="s">
        <v>526</v>
      </c>
      <c r="C170" s="292">
        <f>SUM(C168:C169)</f>
        <v>6000</v>
      </c>
      <c r="D170" s="292">
        <f>SUM(D168:D169)</f>
        <v>32</v>
      </c>
      <c r="E170" s="292">
        <f>SUM(E168:E169)</f>
        <v>28</v>
      </c>
      <c r="F170" s="292">
        <f t="shared" ref="F170:H170" si="130">SUM(F168:F169)</f>
        <v>88000</v>
      </c>
      <c r="G170" s="292">
        <f t="shared" si="130"/>
        <v>22</v>
      </c>
      <c r="H170" s="292">
        <f t="shared" si="130"/>
        <v>13440000</v>
      </c>
      <c r="I170" s="294"/>
      <c r="J170" s="295">
        <f t="shared" ref="J170" si="131">SUM(J168:J169)</f>
        <v>180</v>
      </c>
      <c r="K170" s="296"/>
      <c r="L170" s="295" t="e">
        <f t="shared" ref="L170:N170" si="132">SUM(L168:L169)</f>
        <v>#REF!</v>
      </c>
      <c r="M170" s="295" t="e">
        <f t="shared" si="132"/>
        <v>#REF!</v>
      </c>
      <c r="N170" s="295" t="e">
        <f t="shared" si="132"/>
        <v>#REF!</v>
      </c>
      <c r="O170" s="296"/>
      <c r="P170" s="296"/>
      <c r="Q170" s="296"/>
      <c r="R170" s="295" t="e">
        <f t="shared" ref="R170:S170" si="133">SUM(R168:R169)</f>
        <v>#REF!</v>
      </c>
      <c r="S170" s="295" t="e">
        <f t="shared" si="133"/>
        <v>#REF!</v>
      </c>
    </row>
    <row r="171" spans="2:19" ht="15" customHeight="1" thickTop="1">
      <c r="B171" s="293"/>
      <c r="C171" s="305" t="s">
        <v>538</v>
      </c>
      <c r="D171" s="286">
        <f>D170*C170</f>
        <v>192000</v>
      </c>
      <c r="I171" s="297"/>
      <c r="K171" s="297"/>
      <c r="O171" s="297"/>
      <c r="P171" s="297"/>
      <c r="Q171" s="297"/>
    </row>
    <row r="172" spans="2:19" ht="15" customHeight="1">
      <c r="B172" s="293" t="s">
        <v>552</v>
      </c>
      <c r="I172" s="297"/>
      <c r="K172" s="297"/>
      <c r="O172" s="297"/>
      <c r="P172" s="297"/>
      <c r="Q172" s="297"/>
    </row>
    <row r="173" spans="2:19" ht="15" customHeight="1">
      <c r="B173" s="293"/>
      <c r="I173" s="297"/>
      <c r="K173" s="297"/>
      <c r="O173" s="297"/>
      <c r="P173" s="297"/>
      <c r="Q173" s="297"/>
    </row>
    <row r="174" spans="2:19" ht="15" customHeight="1">
      <c r="B174" s="293" t="s">
        <v>563</v>
      </c>
      <c r="C174" s="286">
        <f>C157</f>
        <v>3000</v>
      </c>
      <c r="D174" s="286">
        <f t="shared" ref="D174:G175" si="134">D157</f>
        <v>12</v>
      </c>
      <c r="E174" s="286">
        <f t="shared" si="134"/>
        <v>12</v>
      </c>
      <c r="F174" s="286">
        <f>D174*C174</f>
        <v>36000</v>
      </c>
      <c r="G174" s="286">
        <f t="shared" si="134"/>
        <v>12</v>
      </c>
      <c r="H174" s="286">
        <f t="shared" ref="H174:H175" si="135">C174*D174*E174*G174</f>
        <v>5184000</v>
      </c>
      <c r="I174" s="297"/>
      <c r="J174" s="290">
        <f>J157</f>
        <v>350</v>
      </c>
      <c r="K174" s="297"/>
      <c r="L174" s="287" t="e">
        <f>J174*$S$210</f>
        <v>#REF!</v>
      </c>
      <c r="M174" s="287" t="e">
        <f>L174*D174</f>
        <v>#REF!</v>
      </c>
      <c r="N174" s="287" t="e">
        <f>M174*C174</f>
        <v>#REF!</v>
      </c>
      <c r="O174" s="297"/>
      <c r="P174" s="297"/>
      <c r="Q174" s="298" t="e">
        <f>ROUND(((L174*(D174*C174))/H174)*$S$212,2)</f>
        <v>#REF!</v>
      </c>
      <c r="R174" s="287" t="e">
        <f t="shared" ref="R174:R175" si="136">H174*Q174</f>
        <v>#REF!</v>
      </c>
      <c r="S174" s="291" t="e">
        <f>N174-R174</f>
        <v>#REF!</v>
      </c>
    </row>
    <row r="175" spans="2:19" ht="15" customHeight="1">
      <c r="B175" s="293" t="s">
        <v>564</v>
      </c>
      <c r="C175" s="286">
        <f>C158</f>
        <v>2000</v>
      </c>
      <c r="D175" s="286">
        <f t="shared" si="134"/>
        <v>20</v>
      </c>
      <c r="E175" s="286">
        <f t="shared" si="134"/>
        <v>4</v>
      </c>
      <c r="F175" s="286">
        <f>D175*C175</f>
        <v>40000</v>
      </c>
      <c r="G175" s="286">
        <f t="shared" si="134"/>
        <v>8</v>
      </c>
      <c r="H175" s="286">
        <f t="shared" si="135"/>
        <v>1280000</v>
      </c>
      <c r="I175" s="297"/>
      <c r="J175" s="290">
        <f>J158</f>
        <v>30</v>
      </c>
      <c r="K175" s="297"/>
      <c r="L175" s="287" t="e">
        <f>J175*$S$210</f>
        <v>#REF!</v>
      </c>
      <c r="M175" s="287" t="e">
        <f>L175*D175</f>
        <v>#REF!</v>
      </c>
      <c r="N175" s="287" t="e">
        <f>M175*C175</f>
        <v>#REF!</v>
      </c>
      <c r="O175" s="297"/>
      <c r="P175" s="297"/>
      <c r="Q175" s="298" t="e">
        <f>ROUND(((L175*(D175*C175))/H175)*$S$212,2)</f>
        <v>#REF!</v>
      </c>
      <c r="R175" s="287" t="e">
        <f t="shared" si="136"/>
        <v>#REF!</v>
      </c>
      <c r="S175" s="291" t="e">
        <f>N175-R175</f>
        <v>#REF!</v>
      </c>
    </row>
    <row r="176" spans="2:19" ht="15" customHeight="1" thickBot="1">
      <c r="B176" s="293" t="s">
        <v>526</v>
      </c>
      <c r="C176" s="292">
        <f>SUM(C174:C175)</f>
        <v>5000</v>
      </c>
      <c r="D176" s="292">
        <f>SUM(D174:D175)</f>
        <v>32</v>
      </c>
      <c r="E176" s="292">
        <f>SUM(E174:E175)</f>
        <v>16</v>
      </c>
      <c r="F176" s="292">
        <f t="shared" ref="F176:H176" si="137">SUM(F174:F175)</f>
        <v>76000</v>
      </c>
      <c r="G176" s="292">
        <f t="shared" si="137"/>
        <v>20</v>
      </c>
      <c r="H176" s="292">
        <f t="shared" si="137"/>
        <v>6464000</v>
      </c>
      <c r="I176" s="294"/>
      <c r="J176" s="295">
        <f t="shared" ref="J176" si="138">SUM(J174:J175)</f>
        <v>380</v>
      </c>
      <c r="K176" s="296"/>
      <c r="L176" s="295" t="e">
        <f t="shared" ref="L176:N176" si="139">SUM(L174:L175)</f>
        <v>#REF!</v>
      </c>
      <c r="M176" s="295" t="e">
        <f t="shared" si="139"/>
        <v>#REF!</v>
      </c>
      <c r="N176" s="295" t="e">
        <f t="shared" si="139"/>
        <v>#REF!</v>
      </c>
      <c r="O176" s="296"/>
      <c r="P176" s="296"/>
      <c r="Q176" s="296"/>
      <c r="R176" s="295" t="e">
        <f t="shared" ref="R176:S176" si="140">SUM(R174:R175)</f>
        <v>#REF!</v>
      </c>
      <c r="S176" s="295" t="e">
        <f t="shared" si="140"/>
        <v>#REF!</v>
      </c>
    </row>
    <row r="177" spans="2:19" ht="15" customHeight="1" thickTop="1">
      <c r="B177" s="293"/>
      <c r="C177" s="305" t="s">
        <v>538</v>
      </c>
      <c r="D177" s="306">
        <f>D176*C176</f>
        <v>160000</v>
      </c>
      <c r="E177" s="294"/>
      <c r="F177" s="294"/>
      <c r="G177" s="294"/>
      <c r="H177" s="294"/>
      <c r="I177" s="294"/>
      <c r="J177" s="294"/>
      <c r="K177" s="294"/>
      <c r="L177" s="294"/>
      <c r="M177" s="294"/>
      <c r="N177" s="294"/>
      <c r="O177" s="294"/>
      <c r="P177" s="294"/>
      <c r="Q177" s="294"/>
      <c r="R177" s="294"/>
      <c r="S177" s="294"/>
    </row>
    <row r="178" spans="2:19" ht="15" customHeight="1">
      <c r="B178" s="293" t="s">
        <v>553</v>
      </c>
      <c r="I178" s="297"/>
      <c r="K178" s="297"/>
      <c r="O178" s="297"/>
      <c r="P178" s="297"/>
      <c r="Q178" s="297"/>
    </row>
    <row r="179" spans="2:19" ht="15" customHeight="1">
      <c r="B179" s="293"/>
      <c r="I179" s="297"/>
      <c r="K179" s="297"/>
      <c r="O179" s="297"/>
      <c r="P179" s="297"/>
      <c r="Q179" s="297"/>
    </row>
    <row r="180" spans="2:19" ht="15" customHeight="1">
      <c r="B180" s="293" t="s">
        <v>566</v>
      </c>
      <c r="C180">
        <f>C139</f>
        <v>500</v>
      </c>
      <c r="D180">
        <f>D139</f>
        <v>4</v>
      </c>
      <c r="E180">
        <f>E139</f>
        <v>1</v>
      </c>
      <c r="F180" s="286">
        <f>D180*C180</f>
        <v>2000</v>
      </c>
      <c r="G180">
        <f>G139</f>
        <v>10</v>
      </c>
      <c r="H180" s="286">
        <f>C180*D180*E180*G180</f>
        <v>20000</v>
      </c>
      <c r="I180" s="297"/>
      <c r="J180" s="290">
        <f>J139</f>
        <v>500</v>
      </c>
      <c r="K180" s="297"/>
      <c r="L180" s="287" t="e">
        <f>J180*$S$210</f>
        <v>#REF!</v>
      </c>
      <c r="M180" s="287" t="e">
        <f>L180*D180</f>
        <v>#REF!</v>
      </c>
      <c r="N180" s="287" t="e">
        <f>M180*C180</f>
        <v>#REF!</v>
      </c>
      <c r="O180" s="297"/>
      <c r="P180" s="297"/>
      <c r="Q180" s="298" t="e">
        <f>ROUND(((L180*(D180*C180))/H180)*$S$213,2)</f>
        <v>#REF!</v>
      </c>
      <c r="R180" s="287" t="e">
        <f>H180*Q180</f>
        <v>#REF!</v>
      </c>
      <c r="S180" s="291" t="e">
        <f>N180-R180</f>
        <v>#REF!</v>
      </c>
    </row>
    <row r="181" spans="2:19" ht="15" customHeight="1" thickBot="1">
      <c r="B181" s="293" t="s">
        <v>526</v>
      </c>
      <c r="C181" s="292">
        <f>SUM(C179:C180)</f>
        <v>500</v>
      </c>
      <c r="D181" s="292">
        <f>SUM(D179:D180)</f>
        <v>4</v>
      </c>
      <c r="E181" s="292">
        <f>SUM(E179:E180)</f>
        <v>1</v>
      </c>
      <c r="F181" s="292">
        <f t="shared" ref="F181:H181" si="141">SUM(F179:F180)</f>
        <v>2000</v>
      </c>
      <c r="G181" s="292">
        <f t="shared" si="141"/>
        <v>10</v>
      </c>
      <c r="H181" s="292">
        <f t="shared" si="141"/>
        <v>20000</v>
      </c>
      <c r="I181" s="294"/>
      <c r="J181" s="295">
        <f t="shared" ref="J181" si="142">SUM(J179:J180)</f>
        <v>500</v>
      </c>
      <c r="K181" s="296"/>
      <c r="L181" s="295" t="e">
        <f t="shared" ref="L181:N181" si="143">SUM(L179:L180)</f>
        <v>#REF!</v>
      </c>
      <c r="M181" s="295" t="e">
        <f t="shared" si="143"/>
        <v>#REF!</v>
      </c>
      <c r="N181" s="295" t="e">
        <f t="shared" si="143"/>
        <v>#REF!</v>
      </c>
      <c r="O181" s="296"/>
      <c r="P181" s="296"/>
      <c r="Q181" s="296"/>
      <c r="R181" s="295" t="e">
        <f t="shared" ref="R181:S181" si="144">SUM(R179:R180)</f>
        <v>#REF!</v>
      </c>
      <c r="S181" s="295" t="e">
        <f t="shared" si="144"/>
        <v>#REF!</v>
      </c>
    </row>
    <row r="182" spans="2:19" ht="15" customHeight="1" thickTop="1">
      <c r="C182" s="305" t="s">
        <v>538</v>
      </c>
      <c r="D182" s="286">
        <f>D181*C181</f>
        <v>2000</v>
      </c>
      <c r="H182" s="286"/>
      <c r="I182" s="297"/>
      <c r="J182" s="290"/>
      <c r="K182" s="297"/>
      <c r="L182" s="287"/>
      <c r="M182" s="304"/>
      <c r="N182" s="291"/>
      <c r="R182" s="304"/>
      <c r="S182" s="291"/>
    </row>
    <row r="183" spans="2:19" ht="15" customHeight="1">
      <c r="B183" s="293" t="s">
        <v>554</v>
      </c>
      <c r="I183" s="297"/>
      <c r="K183" s="297"/>
      <c r="O183" s="297"/>
      <c r="P183" s="297"/>
      <c r="Q183" s="297"/>
    </row>
    <row r="184" spans="2:19" ht="15" customHeight="1">
      <c r="B184" s="293"/>
      <c r="I184" s="297"/>
      <c r="K184" s="297"/>
      <c r="O184" s="297"/>
      <c r="P184" s="297"/>
      <c r="Q184" s="297"/>
    </row>
    <row r="185" spans="2:19" ht="15" customHeight="1">
      <c r="B185" s="293" t="s">
        <v>569</v>
      </c>
      <c r="C185" s="286">
        <f>C168</f>
        <v>4000</v>
      </c>
      <c r="D185" s="286">
        <f t="shared" ref="D185:G186" si="145">D168</f>
        <v>12</v>
      </c>
      <c r="E185" s="286">
        <f t="shared" si="145"/>
        <v>24</v>
      </c>
      <c r="F185" s="286">
        <f>D185*C185</f>
        <v>48000</v>
      </c>
      <c r="G185" s="286">
        <f t="shared" si="145"/>
        <v>10</v>
      </c>
      <c r="H185" s="286">
        <f t="shared" ref="H185:H186" si="146">C185*D185*E185*G185</f>
        <v>11520000</v>
      </c>
      <c r="I185" s="297"/>
      <c r="J185" s="290">
        <f>J168</f>
        <v>150</v>
      </c>
      <c r="K185" s="297"/>
      <c r="L185" s="287" t="e">
        <f>J185*$S$210</f>
        <v>#REF!</v>
      </c>
      <c r="M185" s="287" t="e">
        <f>L185*D185</f>
        <v>#REF!</v>
      </c>
      <c r="N185" s="287" t="e">
        <f>M185*C185</f>
        <v>#REF!</v>
      </c>
      <c r="O185" s="297"/>
      <c r="P185" s="297"/>
      <c r="Q185" s="298" t="e">
        <f>ROUND(((L185*(D185*C185))/H185)*$S$211,2)</f>
        <v>#REF!</v>
      </c>
      <c r="R185" s="287" t="e">
        <f t="shared" ref="R185:R186" si="147">H185*Q185</f>
        <v>#REF!</v>
      </c>
      <c r="S185" s="291" t="e">
        <f>N185-R185</f>
        <v>#REF!</v>
      </c>
    </row>
    <row r="186" spans="2:19" ht="15" customHeight="1">
      <c r="B186" s="293" t="s">
        <v>568</v>
      </c>
      <c r="C186" s="286">
        <f>C169</f>
        <v>2000</v>
      </c>
      <c r="D186" s="286">
        <f t="shared" si="145"/>
        <v>20</v>
      </c>
      <c r="E186" s="286">
        <f t="shared" si="145"/>
        <v>4</v>
      </c>
      <c r="F186" s="286">
        <f>D186*C186</f>
        <v>40000</v>
      </c>
      <c r="G186" s="286">
        <f t="shared" si="145"/>
        <v>12</v>
      </c>
      <c r="H186" s="286">
        <f t="shared" si="146"/>
        <v>1920000</v>
      </c>
      <c r="I186" s="297"/>
      <c r="J186" s="290">
        <f>J169</f>
        <v>30</v>
      </c>
      <c r="K186" s="297"/>
      <c r="L186" s="287" t="e">
        <f>J186*$S$210</f>
        <v>#REF!</v>
      </c>
      <c r="M186" s="287" t="e">
        <f>L186*D186</f>
        <v>#REF!</v>
      </c>
      <c r="N186" s="287" t="e">
        <f>M186*C186</f>
        <v>#REF!</v>
      </c>
      <c r="O186" s="297"/>
      <c r="P186" s="297"/>
      <c r="Q186" s="298" t="e">
        <f>ROUND(((L186*(D186*C186))/H186)*$S$211,2)</f>
        <v>#REF!</v>
      </c>
      <c r="R186" s="287" t="e">
        <f t="shared" si="147"/>
        <v>#REF!</v>
      </c>
      <c r="S186" s="291" t="e">
        <f>N186-R186</f>
        <v>#REF!</v>
      </c>
    </row>
    <row r="187" spans="2:19" ht="15" customHeight="1" thickBot="1">
      <c r="B187" s="293" t="s">
        <v>526</v>
      </c>
      <c r="C187" s="292">
        <f>SUM(C185:C186)</f>
        <v>6000</v>
      </c>
      <c r="D187" s="292">
        <f>SUM(D185:D186)</f>
        <v>32</v>
      </c>
      <c r="E187" s="292">
        <f>SUM(E185:E186)</f>
        <v>28</v>
      </c>
      <c r="F187" s="292">
        <f t="shared" ref="F187:H187" si="148">SUM(F185:F186)</f>
        <v>88000</v>
      </c>
      <c r="G187" s="292">
        <f t="shared" si="148"/>
        <v>22</v>
      </c>
      <c r="H187" s="292">
        <f t="shared" si="148"/>
        <v>13440000</v>
      </c>
      <c r="I187" s="294"/>
      <c r="J187" s="295">
        <f t="shared" ref="J187" si="149">SUM(J185:J186)</f>
        <v>180</v>
      </c>
      <c r="K187" s="296"/>
      <c r="L187" s="295" t="e">
        <f t="shared" ref="L187:N187" si="150">SUM(L185:L186)</f>
        <v>#REF!</v>
      </c>
      <c r="M187" s="295" t="e">
        <f t="shared" si="150"/>
        <v>#REF!</v>
      </c>
      <c r="N187" s="295" t="e">
        <f t="shared" si="150"/>
        <v>#REF!</v>
      </c>
      <c r="O187" s="296"/>
      <c r="P187" s="296"/>
      <c r="Q187" s="296"/>
      <c r="R187" s="295" t="e">
        <f t="shared" ref="R187:S187" si="151">SUM(R185:R186)</f>
        <v>#REF!</v>
      </c>
      <c r="S187" s="295" t="e">
        <f t="shared" si="151"/>
        <v>#REF!</v>
      </c>
    </row>
    <row r="188" spans="2:19" ht="15" customHeight="1" thickTop="1">
      <c r="B188" s="293"/>
      <c r="C188" s="305" t="s">
        <v>538</v>
      </c>
      <c r="D188" s="306">
        <f>D187*C187</f>
        <v>192000</v>
      </c>
      <c r="E188" s="294"/>
      <c r="F188" s="294"/>
      <c r="G188" s="294"/>
      <c r="H188" s="294"/>
      <c r="I188" s="294"/>
      <c r="J188" s="294"/>
      <c r="K188" s="294"/>
      <c r="L188" s="294"/>
      <c r="M188" s="294"/>
      <c r="N188" s="294"/>
      <c r="O188" s="294"/>
      <c r="P188" s="294"/>
      <c r="Q188" s="294"/>
      <c r="R188" s="294"/>
      <c r="S188" s="294"/>
    </row>
    <row r="189" spans="2:19" ht="15" customHeight="1">
      <c r="B189" s="293" t="s">
        <v>555</v>
      </c>
      <c r="I189" s="297"/>
      <c r="K189" s="297"/>
      <c r="O189" s="297"/>
      <c r="P189" s="297"/>
      <c r="Q189" s="297"/>
    </row>
    <row r="190" spans="2:19" ht="15" customHeight="1">
      <c r="B190" s="293"/>
      <c r="I190" s="297"/>
      <c r="K190" s="297"/>
      <c r="O190" s="297"/>
      <c r="P190" s="297"/>
      <c r="Q190" s="297"/>
    </row>
    <row r="191" spans="2:19" ht="15" customHeight="1">
      <c r="B191" s="293" t="s">
        <v>570</v>
      </c>
      <c r="C191">
        <f>C180</f>
        <v>500</v>
      </c>
      <c r="D191">
        <f t="shared" ref="D191:G191" si="152">D180</f>
        <v>4</v>
      </c>
      <c r="E191">
        <f t="shared" si="152"/>
        <v>1</v>
      </c>
      <c r="F191" s="286">
        <f>D191*C191</f>
        <v>2000</v>
      </c>
      <c r="G191">
        <f t="shared" si="152"/>
        <v>10</v>
      </c>
      <c r="H191" s="286">
        <f>C191*D191*E191*G191</f>
        <v>20000</v>
      </c>
      <c r="I191" s="297"/>
      <c r="J191" s="290">
        <f>J180</f>
        <v>500</v>
      </c>
      <c r="K191" s="297"/>
      <c r="L191" s="287" t="e">
        <f>J191*$S$210</f>
        <v>#REF!</v>
      </c>
      <c r="M191" s="287" t="e">
        <f>L191*D191</f>
        <v>#REF!</v>
      </c>
      <c r="N191" s="287" t="e">
        <f>M191*C191</f>
        <v>#REF!</v>
      </c>
      <c r="O191" s="297"/>
      <c r="P191" s="297"/>
      <c r="Q191" s="298" t="e">
        <f>ROUND(((L191*(D191*C191))/H191)*$S$213,2)</f>
        <v>#REF!</v>
      </c>
      <c r="R191" s="287" t="e">
        <f>H191*Q191</f>
        <v>#REF!</v>
      </c>
      <c r="S191" s="291" t="e">
        <f>N191-R191</f>
        <v>#REF!</v>
      </c>
    </row>
    <row r="192" spans="2:19" ht="15" customHeight="1" thickBot="1">
      <c r="B192" s="293" t="s">
        <v>526</v>
      </c>
      <c r="C192" s="292">
        <f>SUM(C190:C191)</f>
        <v>500</v>
      </c>
      <c r="D192" s="292">
        <f>SUM(D190:D191)</f>
        <v>4</v>
      </c>
      <c r="E192" s="292">
        <f>SUM(E190:E191)</f>
        <v>1</v>
      </c>
      <c r="F192" s="292">
        <f t="shared" ref="F192:H192" si="153">SUM(F190:F191)</f>
        <v>2000</v>
      </c>
      <c r="G192" s="292">
        <f t="shared" si="153"/>
        <v>10</v>
      </c>
      <c r="H192" s="292">
        <f t="shared" si="153"/>
        <v>20000</v>
      </c>
      <c r="I192" s="294"/>
      <c r="J192" s="295">
        <f t="shared" ref="J192" si="154">SUM(J190:J191)</f>
        <v>500</v>
      </c>
      <c r="K192" s="296"/>
      <c r="L192" s="295" t="e">
        <f t="shared" ref="L192:N192" si="155">SUM(L190:L191)</f>
        <v>#REF!</v>
      </c>
      <c r="M192" s="295" t="e">
        <f t="shared" si="155"/>
        <v>#REF!</v>
      </c>
      <c r="N192" s="295" t="e">
        <f t="shared" si="155"/>
        <v>#REF!</v>
      </c>
      <c r="O192" s="296"/>
      <c r="P192" s="296"/>
      <c r="Q192" s="296"/>
      <c r="R192" s="295" t="e">
        <f t="shared" ref="R192:S192" si="156">SUM(R190:R191)</f>
        <v>#REF!</v>
      </c>
      <c r="S192" s="295" t="e">
        <f t="shared" si="156"/>
        <v>#REF!</v>
      </c>
    </row>
    <row r="193" spans="2:19" ht="15" customHeight="1" thickTop="1">
      <c r="C193" s="305" t="s">
        <v>538</v>
      </c>
      <c r="D193" s="286">
        <f>D192*C192</f>
        <v>2000</v>
      </c>
      <c r="H193" s="286"/>
      <c r="I193" s="297"/>
      <c r="J193" s="290"/>
      <c r="K193" s="297"/>
      <c r="L193" s="287"/>
      <c r="M193" s="304"/>
      <c r="N193" s="291"/>
      <c r="R193" s="304"/>
      <c r="S193" s="291"/>
    </row>
    <row r="194" spans="2:19" ht="15" customHeight="1">
      <c r="B194" s="293" t="s">
        <v>556</v>
      </c>
      <c r="I194" s="297"/>
      <c r="K194" s="297"/>
      <c r="O194" s="297"/>
      <c r="P194" s="297"/>
      <c r="Q194" s="297"/>
    </row>
    <row r="195" spans="2:19" ht="15" customHeight="1">
      <c r="B195" s="293"/>
      <c r="I195" s="297"/>
      <c r="K195" s="297"/>
      <c r="O195" s="297"/>
      <c r="P195" s="297"/>
      <c r="Q195" s="297"/>
    </row>
    <row r="196" spans="2:19" ht="15" customHeight="1">
      <c r="B196" s="293" t="s">
        <v>572</v>
      </c>
      <c r="C196" s="286">
        <f>C180</f>
        <v>500</v>
      </c>
      <c r="D196" s="286">
        <f t="shared" ref="D196:G196" si="157">D180</f>
        <v>4</v>
      </c>
      <c r="E196" s="286">
        <f t="shared" si="157"/>
        <v>1</v>
      </c>
      <c r="F196" s="286">
        <f>D196*C196</f>
        <v>2000</v>
      </c>
      <c r="G196" s="286">
        <f t="shared" si="157"/>
        <v>10</v>
      </c>
      <c r="H196" s="286">
        <f t="shared" ref="H196" si="158">C196*D196*E196*G196</f>
        <v>20000</v>
      </c>
      <c r="I196" s="297"/>
      <c r="J196" s="290">
        <f>J180</f>
        <v>500</v>
      </c>
      <c r="K196" s="297"/>
      <c r="L196" s="287" t="e">
        <f>J196*$S$210</f>
        <v>#REF!</v>
      </c>
      <c r="M196" s="287" t="e">
        <f>L196*D196</f>
        <v>#REF!</v>
      </c>
      <c r="N196" s="287" t="e">
        <f>M196*C196</f>
        <v>#REF!</v>
      </c>
      <c r="O196" s="297"/>
      <c r="P196" s="297"/>
      <c r="Q196" s="298" t="e">
        <f>ROUND(((L196*(D196*C196))/H196)*$S$213,2)</f>
        <v>#REF!</v>
      </c>
      <c r="R196" s="287" t="e">
        <f t="shared" ref="R196" si="159">H196*Q196</f>
        <v>#REF!</v>
      </c>
      <c r="S196" s="291" t="e">
        <f>N196-R196</f>
        <v>#REF!</v>
      </c>
    </row>
    <row r="197" spans="2:19" ht="15" customHeight="1" thickBot="1">
      <c r="B197" s="293" t="s">
        <v>526</v>
      </c>
      <c r="C197" s="292">
        <f t="shared" ref="C197:H197" si="160">SUM(C196:C196)</f>
        <v>500</v>
      </c>
      <c r="D197" s="292">
        <f t="shared" si="160"/>
        <v>4</v>
      </c>
      <c r="E197" s="292">
        <f t="shared" si="160"/>
        <v>1</v>
      </c>
      <c r="F197" s="292">
        <f t="shared" ref="F197" si="161">SUM(F195:F196)</f>
        <v>2000</v>
      </c>
      <c r="G197" s="292">
        <f t="shared" si="160"/>
        <v>10</v>
      </c>
      <c r="H197" s="292">
        <f t="shared" si="160"/>
        <v>20000</v>
      </c>
      <c r="I197" s="294"/>
      <c r="J197" s="295">
        <f>SUM(J196:J196)</f>
        <v>500</v>
      </c>
      <c r="K197" s="296"/>
      <c r="L197" s="295" t="e">
        <f>SUM(L196:L196)</f>
        <v>#REF!</v>
      </c>
      <c r="M197" s="295" t="e">
        <f>SUM(M196:M196)</f>
        <v>#REF!</v>
      </c>
      <c r="N197" s="295" t="e">
        <f>SUM(N196:N196)</f>
        <v>#REF!</v>
      </c>
      <c r="O197" s="296"/>
      <c r="P197" s="296"/>
      <c r="Q197" s="296"/>
      <c r="R197" s="295" t="e">
        <f>SUM(R196:R196)</f>
        <v>#REF!</v>
      </c>
      <c r="S197" s="295" t="e">
        <f>SUM(S196:S196)</f>
        <v>#REF!</v>
      </c>
    </row>
    <row r="198" spans="2:19" ht="15" customHeight="1" thickTop="1">
      <c r="B198" s="293"/>
      <c r="C198" s="305" t="s">
        <v>538</v>
      </c>
      <c r="D198" s="306">
        <f>D197*C197</f>
        <v>2000</v>
      </c>
      <c r="E198" s="294"/>
      <c r="F198" s="294"/>
      <c r="G198" s="294"/>
      <c r="H198" s="294"/>
      <c r="I198" s="294"/>
      <c r="J198" s="294"/>
      <c r="K198" s="294"/>
      <c r="L198" s="294"/>
      <c r="M198" s="294"/>
      <c r="N198" s="294"/>
      <c r="O198" s="294"/>
      <c r="P198" s="294"/>
      <c r="Q198" s="294"/>
      <c r="R198" s="294"/>
      <c r="S198" s="294"/>
    </row>
    <row r="199" spans="2:19" ht="15" customHeight="1">
      <c r="B199" s="293" t="s">
        <v>557</v>
      </c>
      <c r="I199" s="297"/>
      <c r="K199" s="297"/>
      <c r="O199" s="297"/>
      <c r="P199" s="297"/>
      <c r="Q199" s="297"/>
    </row>
    <row r="200" spans="2:19" ht="15" customHeight="1">
      <c r="B200" s="293"/>
      <c r="I200" s="297"/>
      <c r="K200" s="297"/>
      <c r="O200" s="297"/>
      <c r="P200" s="297"/>
      <c r="Q200" s="297"/>
    </row>
    <row r="201" spans="2:19" ht="15" customHeight="1">
      <c r="B201" s="293" t="s">
        <v>571</v>
      </c>
      <c r="C201" s="288">
        <f>C196</f>
        <v>500</v>
      </c>
      <c r="D201" s="288">
        <f t="shared" ref="D201:G201" si="162">D196</f>
        <v>4</v>
      </c>
      <c r="E201" s="288">
        <f t="shared" si="162"/>
        <v>1</v>
      </c>
      <c r="F201" s="286">
        <f>D201*C201</f>
        <v>2000</v>
      </c>
      <c r="G201" s="288">
        <f t="shared" si="162"/>
        <v>10</v>
      </c>
      <c r="H201" s="286">
        <f>C201*D201*E201*G201</f>
        <v>20000</v>
      </c>
      <c r="I201" s="297"/>
      <c r="J201" s="290">
        <f>J191</f>
        <v>500</v>
      </c>
      <c r="K201" s="297"/>
      <c r="L201" s="287" t="e">
        <f>J201*$S$210</f>
        <v>#REF!</v>
      </c>
      <c r="M201" s="287" t="e">
        <f>L201*D201</f>
        <v>#REF!</v>
      </c>
      <c r="N201" s="287" t="e">
        <f>M201*C201</f>
        <v>#REF!</v>
      </c>
      <c r="O201" s="297"/>
      <c r="P201" s="297"/>
      <c r="Q201" s="298" t="e">
        <f>ROUND(((L201*(D201*C201))/H201)*$S$213,2)</f>
        <v>#REF!</v>
      </c>
      <c r="R201" s="287" t="e">
        <f>H201*Q201</f>
        <v>#REF!</v>
      </c>
      <c r="S201" s="291" t="e">
        <f>N201-R201</f>
        <v>#REF!</v>
      </c>
    </row>
    <row r="202" spans="2:19" ht="15" customHeight="1" thickBot="1">
      <c r="B202" s="293" t="s">
        <v>526</v>
      </c>
      <c r="C202" s="292">
        <f>SUM(C200:C201)</f>
        <v>500</v>
      </c>
      <c r="D202" s="292">
        <f>SUM(D200:D201)</f>
        <v>4</v>
      </c>
      <c r="E202" s="292">
        <f>SUM(E200:E201)</f>
        <v>1</v>
      </c>
      <c r="F202" s="292">
        <f t="shared" ref="F202:H202" si="163">SUM(F200:F201)</f>
        <v>2000</v>
      </c>
      <c r="G202" s="292">
        <f t="shared" si="163"/>
        <v>10</v>
      </c>
      <c r="H202" s="292">
        <f t="shared" si="163"/>
        <v>20000</v>
      </c>
      <c r="I202" s="294"/>
      <c r="J202" s="295">
        <f t="shared" ref="J202" si="164">SUM(J200:J201)</f>
        <v>500</v>
      </c>
      <c r="K202" s="296"/>
      <c r="L202" s="295" t="e">
        <f t="shared" ref="L202:N202" si="165">SUM(L200:L201)</f>
        <v>#REF!</v>
      </c>
      <c r="M202" s="295" t="e">
        <f t="shared" si="165"/>
        <v>#REF!</v>
      </c>
      <c r="N202" s="295" t="e">
        <f t="shared" si="165"/>
        <v>#REF!</v>
      </c>
      <c r="O202" s="296"/>
      <c r="P202" s="296"/>
      <c r="Q202" s="296"/>
      <c r="R202" s="295" t="e">
        <f t="shared" ref="R202:S202" si="166">SUM(R200:R201)</f>
        <v>#REF!</v>
      </c>
      <c r="S202" s="295" t="e">
        <f t="shared" si="166"/>
        <v>#REF!</v>
      </c>
    </row>
    <row r="203" spans="2:19" ht="15" customHeight="1" thickTop="1" thickBot="1">
      <c r="C203" s="305"/>
      <c r="D203" s="286"/>
      <c r="E203" t="s">
        <v>144</v>
      </c>
      <c r="F203" s="288">
        <f>F153+F159+F164+F170+F176+F181+F187+F192+F197+F202</f>
        <v>426000</v>
      </c>
      <c r="H203" s="286"/>
      <c r="I203" s="297"/>
      <c r="J203" s="290"/>
      <c r="K203" s="297"/>
      <c r="L203" s="287"/>
      <c r="M203" s="304" t="s">
        <v>530</v>
      </c>
      <c r="N203" s="291" t="e">
        <f>(N192+N197+N202+N187+N181+N176+N170+N164+N159+N153)/12</f>
        <v>#REF!</v>
      </c>
      <c r="R203" s="304" t="s">
        <v>530</v>
      </c>
      <c r="S203" s="291" t="e">
        <f>(S153+S159+S164+S170+S176+S181+S187+S192+S197+S202)/12</f>
        <v>#REF!</v>
      </c>
    </row>
    <row r="204" spans="2:19" ht="15" customHeight="1" thickBot="1">
      <c r="C204" s="305"/>
      <c r="D204" s="286"/>
      <c r="H204" s="286"/>
      <c r="I204" s="297"/>
      <c r="J204" s="290"/>
      <c r="K204" s="297"/>
      <c r="L204" s="287"/>
      <c r="M204" s="287"/>
      <c r="N204" s="300"/>
      <c r="O204" s="291"/>
      <c r="S204" s="303" t="e">
        <f>(S153+S159+S164+S170+S176+S181+S187+S192+S197+S202)</f>
        <v>#REF!</v>
      </c>
    </row>
    <row r="205" spans="2:19" ht="15" customHeight="1">
      <c r="H205" s="286"/>
      <c r="I205" s="297"/>
      <c r="J205" s="290"/>
      <c r="K205" s="297"/>
      <c r="L205" s="287"/>
      <c r="M205" s="287"/>
      <c r="N205" s="300"/>
      <c r="O205" s="291"/>
    </row>
    <row r="206" spans="2:19" ht="15" customHeight="1" thickBot="1">
      <c r="H206" s="286"/>
      <c r="I206" s="297"/>
      <c r="J206" s="290"/>
      <c r="K206" s="297"/>
      <c r="L206" s="287"/>
      <c r="M206" s="287"/>
      <c r="N206" s="300"/>
      <c r="O206" s="291"/>
    </row>
    <row r="207" spans="2:19" ht="15" customHeight="1" thickBot="1">
      <c r="B207" s="1142" t="s">
        <v>534</v>
      </c>
      <c r="C207" s="1143"/>
      <c r="D207" s="1143"/>
      <c r="E207" s="1143"/>
      <c r="F207" s="1143"/>
      <c r="G207" s="1143"/>
      <c r="H207" s="1143"/>
      <c r="I207" s="1143"/>
      <c r="J207" s="1143"/>
      <c r="K207" s="1143"/>
      <c r="L207" s="1143"/>
      <c r="M207" s="1143"/>
      <c r="N207" s="1143"/>
      <c r="O207" s="1144"/>
    </row>
    <row r="208" spans="2:19" ht="15" customHeight="1" thickBot="1">
      <c r="B208" s="1139" t="s">
        <v>531</v>
      </c>
      <c r="C208" s="1140"/>
      <c r="D208" s="1140"/>
      <c r="E208" s="1141"/>
      <c r="F208" s="297"/>
      <c r="G208" s="1139" t="s">
        <v>532</v>
      </c>
      <c r="H208" s="1140"/>
      <c r="I208" s="1140"/>
      <c r="J208" s="1141"/>
      <c r="K208" s="297"/>
      <c r="L208" s="1139" t="s">
        <v>533</v>
      </c>
      <c r="M208" s="1140"/>
      <c r="N208" s="1140"/>
      <c r="O208" s="1141"/>
    </row>
    <row r="210" spans="2:22">
      <c r="B210" s="93" t="s">
        <v>126</v>
      </c>
      <c r="C210" s="88" t="s">
        <v>127</v>
      </c>
      <c r="D210" s="88"/>
      <c r="E210" s="87"/>
      <c r="F210" s="89"/>
      <c r="G210" s="93" t="s">
        <v>126</v>
      </c>
      <c r="H210" s="88" t="s">
        <v>127</v>
      </c>
      <c r="I210" s="87"/>
      <c r="J210" s="90"/>
      <c r="K210" s="86"/>
      <c r="L210" s="93" t="s">
        <v>126</v>
      </c>
      <c r="M210" s="88" t="s">
        <v>127</v>
      </c>
      <c r="N210" s="88"/>
      <c r="O210" s="87"/>
      <c r="P210" s="86"/>
      <c r="Q210" s="88"/>
      <c r="R210" s="94" t="s">
        <v>128</v>
      </c>
      <c r="S210" s="301" t="e">
        <f>'Model Assumptions'!#REF!</f>
        <v>#REF!</v>
      </c>
      <c r="T210" s="88"/>
      <c r="U210" s="88" t="s">
        <v>129</v>
      </c>
      <c r="V210" s="96" t="e">
        <f>C232+C251+H232+H251+M232</f>
        <v>#REF!</v>
      </c>
    </row>
    <row r="211" spans="2:22">
      <c r="B211" s="93" t="s">
        <v>130</v>
      </c>
      <c r="C211" s="88" t="s">
        <v>131</v>
      </c>
      <c r="D211" s="93" t="s">
        <v>132</v>
      </c>
      <c r="E211" s="88" t="s">
        <v>29</v>
      </c>
      <c r="F211" s="89"/>
      <c r="G211" s="93" t="s">
        <v>130</v>
      </c>
      <c r="H211" s="88" t="s">
        <v>131</v>
      </c>
      <c r="I211" s="93" t="s">
        <v>132</v>
      </c>
      <c r="J211" s="88" t="s">
        <v>29</v>
      </c>
      <c r="K211" s="86"/>
      <c r="L211" s="93" t="s">
        <v>130</v>
      </c>
      <c r="M211" s="88" t="s">
        <v>131</v>
      </c>
      <c r="N211" s="93" t="s">
        <v>132</v>
      </c>
      <c r="O211" s="88" t="s">
        <v>29</v>
      </c>
      <c r="P211" s="86"/>
      <c r="Q211" s="88"/>
      <c r="R211" s="302" t="s">
        <v>535</v>
      </c>
      <c r="S211" s="301" t="e">
        <f>'Model Assumptions'!#REF!</f>
        <v>#REF!</v>
      </c>
      <c r="T211" s="88"/>
      <c r="U211" s="88"/>
      <c r="V211" s="96"/>
    </row>
    <row r="212" spans="2:22">
      <c r="B212" s="93" t="s">
        <v>134</v>
      </c>
      <c r="C212" s="97" t="s">
        <v>135</v>
      </c>
      <c r="D212" s="93" t="s">
        <v>136</v>
      </c>
      <c r="E212" s="88" t="s">
        <v>137</v>
      </c>
      <c r="F212" s="89"/>
      <c r="G212" s="93" t="s">
        <v>134</v>
      </c>
      <c r="H212" s="97" t="s">
        <v>138</v>
      </c>
      <c r="I212" s="93" t="s">
        <v>136</v>
      </c>
      <c r="J212" s="88" t="s">
        <v>137</v>
      </c>
      <c r="K212" s="86"/>
      <c r="L212" s="93" t="s">
        <v>134</v>
      </c>
      <c r="M212" s="97" t="s">
        <v>139</v>
      </c>
      <c r="N212" s="93" t="s">
        <v>136</v>
      </c>
      <c r="O212" s="88" t="s">
        <v>137</v>
      </c>
      <c r="P212" s="86"/>
      <c r="Q212" s="88"/>
      <c r="R212" s="302" t="s">
        <v>536</v>
      </c>
      <c r="S212" s="301" t="e">
        <f>'Model Assumptions'!#REF!</f>
        <v>#REF!</v>
      </c>
      <c r="T212" s="88"/>
      <c r="U212" s="88"/>
      <c r="V212" s="96"/>
    </row>
    <row r="213" spans="2:22">
      <c r="B213" s="93"/>
      <c r="C213" s="88" t="s">
        <v>141</v>
      </c>
      <c r="D213" s="93"/>
      <c r="E213" s="88"/>
      <c r="F213" s="89"/>
      <c r="G213" s="93"/>
      <c r="H213" s="97"/>
      <c r="I213" s="93"/>
      <c r="J213" s="88"/>
      <c r="K213" s="86"/>
      <c r="L213" s="93"/>
      <c r="M213" s="97"/>
      <c r="N213" s="93"/>
      <c r="O213" s="88"/>
      <c r="P213" s="86"/>
      <c r="Q213" s="88"/>
      <c r="R213" s="302" t="s">
        <v>537</v>
      </c>
      <c r="S213" s="301" t="e">
        <f>'Model Assumptions'!#REF!</f>
        <v>#REF!</v>
      </c>
      <c r="T213" s="88"/>
      <c r="U213" s="88"/>
      <c r="V213" s="88"/>
    </row>
    <row r="214" spans="2:22">
      <c r="B214" s="93" t="s">
        <v>145</v>
      </c>
      <c r="C214" s="88" t="s">
        <v>146</v>
      </c>
      <c r="D214" s="93"/>
      <c r="E214" s="88"/>
      <c r="F214" s="89"/>
      <c r="G214" s="93" t="s">
        <v>145</v>
      </c>
      <c r="H214" s="88" t="s">
        <v>147</v>
      </c>
      <c r="I214" s="93"/>
      <c r="J214" s="88"/>
      <c r="K214" s="86"/>
      <c r="L214" s="93" t="s">
        <v>145</v>
      </c>
      <c r="M214" s="88" t="s">
        <v>148</v>
      </c>
      <c r="N214" s="93"/>
      <c r="O214" s="88"/>
      <c r="P214" s="86"/>
      <c r="Q214" s="88"/>
      <c r="R214" s="94"/>
      <c r="S214" s="92"/>
      <c r="T214" s="88"/>
      <c r="U214" s="88" t="s">
        <v>140</v>
      </c>
      <c r="V214" s="98">
        <f>C223+C242+H223+H242+M223</f>
        <v>11500</v>
      </c>
    </row>
    <row r="215" spans="2:22">
      <c r="B215" s="93" t="s">
        <v>150</v>
      </c>
      <c r="C215" s="88" t="s">
        <v>151</v>
      </c>
      <c r="D215" s="93" t="s">
        <v>152</v>
      </c>
      <c r="E215" s="88">
        <v>2025</v>
      </c>
      <c r="F215" s="89"/>
      <c r="G215" s="93" t="s">
        <v>150</v>
      </c>
      <c r="H215" s="88" t="s">
        <v>151</v>
      </c>
      <c r="I215" s="93" t="s">
        <v>152</v>
      </c>
      <c r="J215" s="88">
        <v>2025</v>
      </c>
      <c r="K215" s="86"/>
      <c r="L215" s="93" t="s">
        <v>150</v>
      </c>
      <c r="M215" s="88" t="s">
        <v>151</v>
      </c>
      <c r="N215" s="93" t="s">
        <v>152</v>
      </c>
      <c r="O215" s="88">
        <v>2025</v>
      </c>
      <c r="P215" s="86"/>
      <c r="Q215" s="88"/>
      <c r="R215" s="99" t="s">
        <v>142</v>
      </c>
      <c r="S215" s="99" t="s">
        <v>143</v>
      </c>
      <c r="T215" s="88"/>
      <c r="U215" s="88" t="s">
        <v>144</v>
      </c>
      <c r="V215" s="98">
        <f>E225+E244+J225+J244+O225</f>
        <v>166000</v>
      </c>
    </row>
    <row r="216" spans="2:22">
      <c r="B216" s="93" t="s">
        <v>155</v>
      </c>
      <c r="C216" s="88" t="s">
        <v>29</v>
      </c>
      <c r="D216" s="93"/>
      <c r="E216" s="88"/>
      <c r="F216" s="89"/>
      <c r="G216" s="93" t="s">
        <v>155</v>
      </c>
      <c r="H216" s="88" t="s">
        <v>29</v>
      </c>
      <c r="I216" s="93"/>
      <c r="J216" s="88"/>
      <c r="K216" s="86"/>
      <c r="L216" s="93" t="s">
        <v>155</v>
      </c>
      <c r="M216" s="88" t="s">
        <v>29</v>
      </c>
      <c r="N216" s="93"/>
      <c r="O216" s="88"/>
      <c r="P216" s="86"/>
      <c r="Q216" s="88"/>
      <c r="R216" s="100"/>
      <c r="S216" s="100"/>
      <c r="T216" s="88"/>
      <c r="U216" s="88" t="s">
        <v>149</v>
      </c>
      <c r="V216" s="98">
        <f>E226+E245+J226+J245+O226</f>
        <v>19924000</v>
      </c>
    </row>
    <row r="217" spans="2:22">
      <c r="B217" s="93" t="s">
        <v>158</v>
      </c>
      <c r="C217" s="88" t="s">
        <v>159</v>
      </c>
      <c r="D217" s="93"/>
      <c r="E217" s="88"/>
      <c r="F217" s="89"/>
      <c r="G217" s="93" t="s">
        <v>158</v>
      </c>
      <c r="H217" s="88" t="s">
        <v>160</v>
      </c>
      <c r="I217" s="93"/>
      <c r="J217" s="88"/>
      <c r="K217" s="86"/>
      <c r="L217" s="93" t="s">
        <v>158</v>
      </c>
      <c r="M217" s="88" t="s">
        <v>161</v>
      </c>
      <c r="N217" s="93"/>
      <c r="O217" s="88"/>
      <c r="P217" s="86"/>
      <c r="Q217" s="88"/>
      <c r="R217" s="101" t="s">
        <v>153</v>
      </c>
      <c r="S217" s="102" t="s">
        <v>154</v>
      </c>
      <c r="T217" s="88"/>
      <c r="U217" s="88"/>
      <c r="V217" s="98"/>
    </row>
    <row r="218" spans="2:22">
      <c r="B218" s="93"/>
      <c r="C218" s="88"/>
      <c r="D218" s="93"/>
      <c r="E218" s="88"/>
      <c r="F218" s="89"/>
      <c r="G218" s="93"/>
      <c r="H218" s="88"/>
      <c r="I218" s="93"/>
      <c r="J218" s="88"/>
      <c r="K218" s="86"/>
      <c r="L218" s="93"/>
      <c r="M218" s="88"/>
      <c r="N218" s="93"/>
      <c r="O218" s="88"/>
      <c r="P218" s="86"/>
      <c r="Q218" s="88"/>
      <c r="R218" s="101"/>
      <c r="S218" s="102" t="s">
        <v>156</v>
      </c>
      <c r="T218" s="88"/>
      <c r="U218" s="88" t="s">
        <v>157</v>
      </c>
      <c r="V218" s="98">
        <f>V222</f>
        <v>150</v>
      </c>
    </row>
    <row r="219" spans="2:22">
      <c r="B219" s="103" t="s">
        <v>165</v>
      </c>
      <c r="C219" s="104"/>
      <c r="D219" s="105"/>
      <c r="E219" s="106"/>
      <c r="F219" s="89"/>
      <c r="G219" s="103" t="s">
        <v>165</v>
      </c>
      <c r="H219" s="104"/>
      <c r="I219" s="105"/>
      <c r="J219" s="106"/>
      <c r="K219" s="86"/>
      <c r="L219" s="103" t="s">
        <v>165</v>
      </c>
      <c r="M219" s="104"/>
      <c r="N219" s="105"/>
      <c r="O219" s="106"/>
      <c r="P219" s="86"/>
      <c r="Q219" s="88"/>
      <c r="R219" s="101"/>
      <c r="S219" s="102" t="s">
        <v>162</v>
      </c>
      <c r="T219" s="88"/>
      <c r="U219" s="88" t="s">
        <v>163</v>
      </c>
      <c r="V219" s="98">
        <f>V216/V218</f>
        <v>132826.66666666666</v>
      </c>
    </row>
    <row r="220" spans="2:22" ht="32">
      <c r="B220" s="107" t="s">
        <v>168</v>
      </c>
      <c r="C220" s="88" t="s">
        <v>169</v>
      </c>
      <c r="D220" s="107" t="s">
        <v>170</v>
      </c>
      <c r="E220" s="108" t="s">
        <v>171</v>
      </c>
      <c r="F220" s="89"/>
      <c r="G220" s="107" t="s">
        <v>168</v>
      </c>
      <c r="H220" s="88" t="s">
        <v>169</v>
      </c>
      <c r="I220" s="107" t="s">
        <v>170</v>
      </c>
      <c r="J220" s="108" t="s">
        <v>171</v>
      </c>
      <c r="K220" s="86"/>
      <c r="L220" s="107" t="s">
        <v>168</v>
      </c>
      <c r="M220" s="88" t="s">
        <v>169</v>
      </c>
      <c r="N220" s="107" t="s">
        <v>170</v>
      </c>
      <c r="O220" s="108" t="s">
        <v>171</v>
      </c>
      <c r="P220" s="86"/>
      <c r="Q220" s="88"/>
      <c r="R220" s="101"/>
      <c r="S220" s="102" t="s">
        <v>164</v>
      </c>
      <c r="T220" s="88"/>
      <c r="U220" s="88"/>
      <c r="V220" s="98"/>
    </row>
    <row r="221" spans="2:22">
      <c r="B221" s="109" t="s">
        <v>175</v>
      </c>
      <c r="C221" s="88" t="s">
        <v>176</v>
      </c>
      <c r="D221" s="93" t="s">
        <v>177</v>
      </c>
      <c r="E221" s="108"/>
      <c r="F221" s="89"/>
      <c r="G221" s="109" t="s">
        <v>175</v>
      </c>
      <c r="H221" s="88" t="s">
        <v>178</v>
      </c>
      <c r="I221" s="93" t="s">
        <v>177</v>
      </c>
      <c r="J221" s="108"/>
      <c r="K221" s="86"/>
      <c r="L221" s="109" t="s">
        <v>175</v>
      </c>
      <c r="M221" s="88" t="s">
        <v>179</v>
      </c>
      <c r="N221" s="93" t="s">
        <v>177</v>
      </c>
      <c r="O221" s="108"/>
      <c r="P221" s="86"/>
      <c r="Q221" s="88"/>
      <c r="R221" s="101"/>
      <c r="S221" s="102" t="s">
        <v>166</v>
      </c>
      <c r="T221" s="88"/>
      <c r="U221" s="88" t="s">
        <v>167</v>
      </c>
      <c r="V221" s="98">
        <f>E235+J235+O235+E256+J256</f>
        <v>128000</v>
      </c>
    </row>
    <row r="222" spans="2:22">
      <c r="B222" s="110" t="s">
        <v>182</v>
      </c>
      <c r="C222" s="88"/>
      <c r="D222" s="88"/>
      <c r="E222" s="87"/>
      <c r="F222" s="89"/>
      <c r="G222" s="110" t="s">
        <v>182</v>
      </c>
      <c r="H222" s="88"/>
      <c r="I222" s="88"/>
      <c r="J222" s="90"/>
      <c r="K222" s="86"/>
      <c r="L222" s="110" t="s">
        <v>182</v>
      </c>
      <c r="M222" s="88"/>
      <c r="N222" s="88"/>
      <c r="O222" s="87"/>
      <c r="P222" s="86"/>
      <c r="Q222" s="88"/>
      <c r="R222" s="101" t="s">
        <v>172</v>
      </c>
      <c r="S222" s="102" t="s">
        <v>173</v>
      </c>
      <c r="T222" s="88"/>
      <c r="U222" s="88" t="s">
        <v>174</v>
      </c>
      <c r="V222" s="98">
        <v>150</v>
      </c>
    </row>
    <row r="223" spans="2:22">
      <c r="B223" s="93" t="s">
        <v>185</v>
      </c>
      <c r="C223" s="88">
        <v>4000</v>
      </c>
      <c r="D223" s="111"/>
      <c r="E223" s="87"/>
      <c r="F223" s="89"/>
      <c r="G223" s="93" t="s">
        <v>185</v>
      </c>
      <c r="H223" s="88">
        <v>3000</v>
      </c>
      <c r="I223" s="111"/>
      <c r="J223" s="90"/>
      <c r="K223" s="89"/>
      <c r="L223" s="93" t="s">
        <v>185</v>
      </c>
      <c r="M223" s="88">
        <v>500</v>
      </c>
      <c r="N223" s="111"/>
      <c r="O223" s="87"/>
      <c r="P223" s="86"/>
      <c r="Q223" s="88"/>
      <c r="R223" s="101"/>
      <c r="S223" s="102" t="s">
        <v>180</v>
      </c>
      <c r="T223" s="88"/>
      <c r="U223" s="88" t="s">
        <v>181</v>
      </c>
      <c r="V223" s="98">
        <f>V221/V222</f>
        <v>853.33333333333337</v>
      </c>
    </row>
    <row r="224" spans="2:22">
      <c r="B224" s="93" t="s">
        <v>188</v>
      </c>
      <c r="C224" s="88">
        <v>12</v>
      </c>
      <c r="D224" s="93" t="s">
        <v>189</v>
      </c>
      <c r="E224" s="88">
        <f>SUM(C226*C225)</f>
        <v>240</v>
      </c>
      <c r="F224" s="89"/>
      <c r="G224" s="93" t="s">
        <v>188</v>
      </c>
      <c r="H224" s="88">
        <v>12</v>
      </c>
      <c r="I224" s="93" t="s">
        <v>189</v>
      </c>
      <c r="J224" s="88">
        <f>SUM(H226*H225)</f>
        <v>144</v>
      </c>
      <c r="K224" s="89"/>
      <c r="L224" s="93" t="s">
        <v>188</v>
      </c>
      <c r="M224" s="88">
        <v>4</v>
      </c>
      <c r="N224" s="93" t="s">
        <v>189</v>
      </c>
      <c r="O224" s="88">
        <f>SUM(M226*M225)</f>
        <v>10</v>
      </c>
      <c r="P224" s="86"/>
      <c r="Q224" s="88"/>
      <c r="R224" s="101" t="s">
        <v>183</v>
      </c>
      <c r="S224" s="102" t="s">
        <v>184</v>
      </c>
      <c r="T224" s="88"/>
      <c r="U224" s="88"/>
      <c r="V224" s="88"/>
    </row>
    <row r="225" spans="2:22">
      <c r="B225" s="93" t="s">
        <v>192</v>
      </c>
      <c r="C225" s="88">
        <v>24</v>
      </c>
      <c r="D225" s="93" t="s">
        <v>144</v>
      </c>
      <c r="E225" s="113">
        <f>SUM(C224*C223)</f>
        <v>48000</v>
      </c>
      <c r="F225" s="89"/>
      <c r="G225" s="93" t="s">
        <v>192</v>
      </c>
      <c r="H225" s="88">
        <v>12</v>
      </c>
      <c r="I225" s="93" t="s">
        <v>144</v>
      </c>
      <c r="J225" s="113">
        <f>SUM(H224*H223)</f>
        <v>36000</v>
      </c>
      <c r="K225" s="86"/>
      <c r="L225" s="93" t="s">
        <v>192</v>
      </c>
      <c r="M225" s="88">
        <v>1</v>
      </c>
      <c r="N225" s="93" t="s">
        <v>144</v>
      </c>
      <c r="O225" s="113">
        <f>SUM(M224*M223)</f>
        <v>2000</v>
      </c>
      <c r="P225" s="86"/>
      <c r="Q225" s="88"/>
      <c r="R225" s="101"/>
      <c r="S225" s="102" t="s">
        <v>186</v>
      </c>
      <c r="T225" s="88"/>
      <c r="U225" s="88" t="s">
        <v>187</v>
      </c>
      <c r="V225" s="112" t="e">
        <f>'Model Assumptions'!#REF!</f>
        <v>#REF!</v>
      </c>
    </row>
    <row r="226" spans="2:22">
      <c r="B226" s="93" t="s">
        <v>195</v>
      </c>
      <c r="C226" s="88">
        <v>10</v>
      </c>
      <c r="D226" s="93" t="s">
        <v>149</v>
      </c>
      <c r="E226" s="113">
        <f>SUM(C226*C225*C224*C223)</f>
        <v>11520000</v>
      </c>
      <c r="F226" s="89"/>
      <c r="G226" s="93" t="s">
        <v>195</v>
      </c>
      <c r="H226" s="88">
        <v>12</v>
      </c>
      <c r="I226" s="93" t="s">
        <v>149</v>
      </c>
      <c r="J226" s="113">
        <f>SUM(H226*H225*H224*H223)</f>
        <v>5184000</v>
      </c>
      <c r="K226" s="86"/>
      <c r="L226" s="93" t="s">
        <v>195</v>
      </c>
      <c r="M226" s="88">
        <v>10</v>
      </c>
      <c r="N226" s="93" t="s">
        <v>149</v>
      </c>
      <c r="O226" s="113">
        <f>SUM(M226*M225*M224*M223)</f>
        <v>20000</v>
      </c>
      <c r="P226" s="86"/>
      <c r="Q226" s="88"/>
      <c r="R226" s="101"/>
      <c r="S226" s="102" t="s">
        <v>190</v>
      </c>
      <c r="T226" s="88"/>
      <c r="U226" s="8" t="s">
        <v>191</v>
      </c>
      <c r="V226" s="112" t="e">
        <f>'Model Assumptions'!#REF!</f>
        <v>#REF!</v>
      </c>
    </row>
    <row r="227" spans="2:22">
      <c r="B227" s="93"/>
      <c r="C227" s="88"/>
      <c r="D227" s="88"/>
      <c r="E227" s="87"/>
      <c r="F227" s="89"/>
      <c r="G227" s="93"/>
      <c r="H227" s="88"/>
      <c r="I227" s="88"/>
      <c r="J227" s="90"/>
      <c r="K227" s="86"/>
      <c r="L227" s="111"/>
      <c r="M227" s="88"/>
      <c r="N227" s="88"/>
      <c r="O227" s="87"/>
      <c r="P227" s="86"/>
      <c r="Q227" s="88"/>
      <c r="R227" s="101"/>
      <c r="S227" s="102" t="s">
        <v>193</v>
      </c>
      <c r="T227" s="88"/>
      <c r="U227" s="88" t="s">
        <v>194</v>
      </c>
      <c r="V227" s="112" t="e">
        <f>'Model Assumptions'!#REF!</f>
        <v>#REF!</v>
      </c>
    </row>
    <row r="228" spans="2:22">
      <c r="B228" s="93"/>
      <c r="C228" s="93" t="s">
        <v>199</v>
      </c>
      <c r="D228" s="93" t="s">
        <v>19</v>
      </c>
      <c r="E228" s="115" t="s">
        <v>18</v>
      </c>
      <c r="F228" s="116"/>
      <c r="G228" s="93"/>
      <c r="H228" s="93" t="s">
        <v>199</v>
      </c>
      <c r="I228" s="93" t="s">
        <v>19</v>
      </c>
      <c r="J228" s="115" t="s">
        <v>18</v>
      </c>
      <c r="K228" s="114"/>
      <c r="L228" s="93"/>
      <c r="M228" s="93" t="s">
        <v>199</v>
      </c>
      <c r="N228" s="93" t="s">
        <v>19</v>
      </c>
      <c r="O228" s="115" t="s">
        <v>18</v>
      </c>
      <c r="P228" s="114"/>
      <c r="Q228" s="94"/>
      <c r="R228" s="101"/>
      <c r="S228" s="102" t="s">
        <v>196</v>
      </c>
      <c r="T228" s="88"/>
      <c r="U228" s="88" t="s">
        <v>197</v>
      </c>
      <c r="V228" s="112" t="e">
        <f>'Model Assumptions'!#REF!</f>
        <v>#REF!</v>
      </c>
    </row>
    <row r="229" spans="2:22" ht="15.75" customHeight="1">
      <c r="B229" s="93" t="s">
        <v>202</v>
      </c>
      <c r="C229" s="90" t="e">
        <f>SUM(D229*S211)</f>
        <v>#REF!</v>
      </c>
      <c r="D229" s="90" t="e">
        <f>SUM(E229*S210)</f>
        <v>#REF!</v>
      </c>
      <c r="E229" s="90">
        <v>150</v>
      </c>
      <c r="F229" s="89"/>
      <c r="G229" s="93" t="s">
        <v>202</v>
      </c>
      <c r="H229" s="90" t="e">
        <f>SUM(I229*S212)</f>
        <v>#REF!</v>
      </c>
      <c r="I229" s="90" t="e">
        <f>SUM(J229*S210)</f>
        <v>#REF!</v>
      </c>
      <c r="J229" s="90">
        <v>350</v>
      </c>
      <c r="K229" s="86"/>
      <c r="L229" s="93" t="s">
        <v>202</v>
      </c>
      <c r="M229" s="90" t="e">
        <f>SUM(N229*S213)</f>
        <v>#REF!</v>
      </c>
      <c r="N229" s="90" t="e">
        <f>SUM(O229*S210)</f>
        <v>#REF!</v>
      </c>
      <c r="O229" s="90">
        <v>500</v>
      </c>
      <c r="P229" s="86"/>
      <c r="Q229" s="88"/>
      <c r="R229" s="101"/>
      <c r="S229" s="102" t="s">
        <v>198</v>
      </c>
      <c r="T229" s="88"/>
      <c r="U229" s="88"/>
      <c r="V229" s="96"/>
    </row>
    <row r="230" spans="2:22" ht="15.75" customHeight="1">
      <c r="B230" s="93" t="s">
        <v>205</v>
      </c>
      <c r="C230" s="90" t="e">
        <f>SUM(D230*S211)</f>
        <v>#REF!</v>
      </c>
      <c r="D230" s="90" t="e">
        <f>SUM(E230*S210)</f>
        <v>#REF!</v>
      </c>
      <c r="E230" s="90">
        <f>SUM(E229*C224)</f>
        <v>1800</v>
      </c>
      <c r="F230" s="89"/>
      <c r="G230" s="93" t="s">
        <v>205</v>
      </c>
      <c r="H230" s="90" t="e">
        <f>SUM(I230*S212)</f>
        <v>#REF!</v>
      </c>
      <c r="I230" s="90" t="e">
        <f>SUM(J230*S210)</f>
        <v>#REF!</v>
      </c>
      <c r="J230" s="90">
        <f>SUM(J229*H224)</f>
        <v>4200</v>
      </c>
      <c r="K230" s="86"/>
      <c r="L230" s="93" t="s">
        <v>205</v>
      </c>
      <c r="M230" s="90" t="e">
        <f>SUM(N230*S213)</f>
        <v>#REF!</v>
      </c>
      <c r="N230" s="90" t="e">
        <f>SUM(O230*S210)</f>
        <v>#REF!</v>
      </c>
      <c r="O230" s="90">
        <f>SUM(O229*M224)</f>
        <v>2000</v>
      </c>
      <c r="P230" s="86"/>
      <c r="Q230" s="88"/>
      <c r="R230" s="101"/>
      <c r="S230" s="102" t="s">
        <v>200</v>
      </c>
      <c r="T230" s="94"/>
      <c r="U230" s="88" t="s">
        <v>201</v>
      </c>
      <c r="V230" s="112">
        <v>0.2</v>
      </c>
    </row>
    <row r="231" spans="2:22" ht="15.75" customHeight="1">
      <c r="B231" s="93" t="s">
        <v>208</v>
      </c>
      <c r="C231" s="90" t="e">
        <f>SUM(D231*S211)</f>
        <v>#REF!</v>
      </c>
      <c r="D231" s="90" t="e">
        <f>SUM(E231*S210)</f>
        <v>#REF!</v>
      </c>
      <c r="E231" s="90">
        <f>SUM(E230*C223)</f>
        <v>7200000</v>
      </c>
      <c r="F231" s="89"/>
      <c r="G231" s="93" t="s">
        <v>208</v>
      </c>
      <c r="H231" s="90" t="e">
        <f>SUM(I231*S212)</f>
        <v>#REF!</v>
      </c>
      <c r="I231" s="90" t="e">
        <f>SUM(J231*S210)</f>
        <v>#REF!</v>
      </c>
      <c r="J231" s="90">
        <f>SUM(J230*H223)</f>
        <v>12600000</v>
      </c>
      <c r="K231" s="86"/>
      <c r="L231" s="93" t="s">
        <v>208</v>
      </c>
      <c r="M231" s="90" t="e">
        <f>SUM(N231*S213)</f>
        <v>#REF!</v>
      </c>
      <c r="N231" s="90" t="e">
        <f>SUM(O231*S210)</f>
        <v>#REF!</v>
      </c>
      <c r="O231" s="90">
        <f>SUM(O230*M223)</f>
        <v>1000000</v>
      </c>
      <c r="P231" s="86"/>
      <c r="Q231" s="88"/>
      <c r="R231" s="101" t="s">
        <v>203</v>
      </c>
      <c r="S231" s="102" t="s">
        <v>204</v>
      </c>
      <c r="T231" s="117"/>
      <c r="U231" s="88"/>
      <c r="V231" s="88"/>
    </row>
    <row r="232" spans="2:22" ht="15.75" customHeight="1">
      <c r="B232" s="87" t="s">
        <v>210</v>
      </c>
      <c r="C232" s="96" t="e">
        <f>D231-C231</f>
        <v>#REF!</v>
      </c>
      <c r="D232" s="88"/>
      <c r="E232" s="87"/>
      <c r="F232" s="89"/>
      <c r="G232" s="87" t="s">
        <v>210</v>
      </c>
      <c r="H232" s="96" t="e">
        <f>I231-H231</f>
        <v>#REF!</v>
      </c>
      <c r="I232" s="88"/>
      <c r="J232" s="90"/>
      <c r="K232" s="86"/>
      <c r="L232" s="87" t="s">
        <v>210</v>
      </c>
      <c r="M232" s="96" t="e">
        <f>N231-M231</f>
        <v>#REF!</v>
      </c>
      <c r="N232" s="88"/>
      <c r="O232" s="87"/>
      <c r="P232" s="86"/>
      <c r="Q232" s="88"/>
      <c r="R232" s="101"/>
      <c r="S232" s="102" t="s">
        <v>206</v>
      </c>
      <c r="T232" s="117"/>
      <c r="U232" s="88" t="s">
        <v>207</v>
      </c>
      <c r="V232" s="96" t="e">
        <f>V210-V229</f>
        <v>#REF!</v>
      </c>
    </row>
    <row r="233" spans="2:22" ht="15.75" customHeight="1">
      <c r="B233" s="107" t="s">
        <v>213</v>
      </c>
      <c r="C233" s="119" t="e">
        <f>SUM(C231/E226)</f>
        <v>#REF!</v>
      </c>
      <c r="D233" s="88" t="s">
        <v>214</v>
      </c>
      <c r="E233" s="120">
        <f>E226/$V$222</f>
        <v>76800</v>
      </c>
      <c r="F233" s="89"/>
      <c r="G233" s="107" t="s">
        <v>213</v>
      </c>
      <c r="H233" s="119" t="e">
        <f>SUM(H231/J226)</f>
        <v>#REF!</v>
      </c>
      <c r="I233" s="88" t="s">
        <v>214</v>
      </c>
      <c r="J233" s="120">
        <f>J226/$V$222</f>
        <v>34560</v>
      </c>
      <c r="K233" s="86"/>
      <c r="L233" s="107" t="s">
        <v>213</v>
      </c>
      <c r="M233" s="119" t="e">
        <f>SUM(M231/O226)</f>
        <v>#REF!</v>
      </c>
      <c r="N233" s="88" t="s">
        <v>214</v>
      </c>
      <c r="O233" s="120">
        <f>O226/$V$222</f>
        <v>133.33333333333334</v>
      </c>
      <c r="P233" s="86"/>
      <c r="Q233" s="88"/>
      <c r="R233" s="101"/>
      <c r="S233" s="102" t="s">
        <v>209</v>
      </c>
      <c r="T233" s="117"/>
      <c r="U233" s="88"/>
      <c r="V233" s="88"/>
    </row>
    <row r="234" spans="2:22" ht="15.75" customHeight="1">
      <c r="B234" s="121" t="s">
        <v>218</v>
      </c>
      <c r="C234" s="119" t="e">
        <f>(D231-C231)/E226</f>
        <v>#REF!</v>
      </c>
      <c r="D234" s="88" t="s">
        <v>219</v>
      </c>
      <c r="E234" s="90" t="e">
        <f>E233*C234*$V$230</f>
        <v>#REF!</v>
      </c>
      <c r="F234" s="89"/>
      <c r="G234" s="121" t="s">
        <v>218</v>
      </c>
      <c r="H234" s="119" t="e">
        <f>(I231-H231)/J226</f>
        <v>#REF!</v>
      </c>
      <c r="I234" s="88" t="s">
        <v>219</v>
      </c>
      <c r="J234" s="90" t="e">
        <f>J233*H234*$V$230</f>
        <v>#REF!</v>
      </c>
      <c r="K234" s="86"/>
      <c r="L234" s="121" t="s">
        <v>218</v>
      </c>
      <c r="M234" s="119" t="e">
        <f>(N231-M231)/O226</f>
        <v>#REF!</v>
      </c>
      <c r="N234" s="88" t="s">
        <v>219</v>
      </c>
      <c r="O234" s="90" t="e">
        <f>O233*M234*$V$230</f>
        <v>#REF!</v>
      </c>
      <c r="P234" s="86"/>
      <c r="Q234" s="88"/>
      <c r="R234" s="101"/>
      <c r="S234" s="102" t="s">
        <v>211</v>
      </c>
      <c r="T234" s="88"/>
      <c r="U234" s="88" t="s">
        <v>212</v>
      </c>
      <c r="V234" s="118" t="e">
        <f>E234+E253+J234+J253+O234</f>
        <v>#REF!</v>
      </c>
    </row>
    <row r="235" spans="2:22" ht="15.75" customHeight="1">
      <c r="B235" s="122" t="s">
        <v>221</v>
      </c>
      <c r="C235" s="88" t="s">
        <v>222</v>
      </c>
      <c r="D235" s="88">
        <v>1</v>
      </c>
      <c r="E235" s="120">
        <f>D235*C224*C223</f>
        <v>48000</v>
      </c>
      <c r="F235" s="89"/>
      <c r="G235" s="122" t="s">
        <v>221</v>
      </c>
      <c r="H235" s="88" t="s">
        <v>223</v>
      </c>
      <c r="I235" s="88">
        <v>2</v>
      </c>
      <c r="J235" s="120">
        <f>I235*H224*H223</f>
        <v>72000</v>
      </c>
      <c r="K235" s="86"/>
      <c r="L235" s="122" t="s">
        <v>221</v>
      </c>
      <c r="M235" s="88" t="s">
        <v>224</v>
      </c>
      <c r="N235" s="88">
        <v>4</v>
      </c>
      <c r="O235" s="120">
        <f>N235*M224*M223</f>
        <v>8000</v>
      </c>
      <c r="P235" s="86"/>
      <c r="Q235" s="88"/>
      <c r="R235" s="101" t="s">
        <v>215</v>
      </c>
      <c r="S235" s="102" t="s">
        <v>216</v>
      </c>
      <c r="T235" s="88"/>
      <c r="U235" s="88" t="s">
        <v>217</v>
      </c>
      <c r="V235" s="96" t="e">
        <f>V234/V223</f>
        <v>#REF!</v>
      </c>
    </row>
    <row r="236" spans="2:22" ht="15.75" customHeight="1">
      <c r="B236" s="123"/>
      <c r="C236" s="88" t="s">
        <v>226</v>
      </c>
      <c r="D236" s="88" t="e">
        <f>(D231-C231)/D231</f>
        <v>#REF!</v>
      </c>
      <c r="E236" s="87"/>
      <c r="F236" s="89"/>
      <c r="G236" s="121"/>
      <c r="H236" s="117"/>
      <c r="I236" s="88"/>
      <c r="J236" s="90"/>
      <c r="K236" s="86"/>
      <c r="L236" s="123"/>
      <c r="M236" s="88" t="s">
        <v>227</v>
      </c>
      <c r="N236" s="88"/>
      <c r="O236" s="87"/>
      <c r="P236" s="86"/>
      <c r="Q236" s="88"/>
      <c r="R236" s="101"/>
      <c r="S236" s="102" t="s">
        <v>220</v>
      </c>
      <c r="T236" s="88"/>
      <c r="U236" s="88"/>
      <c r="V236" s="88"/>
    </row>
    <row r="237" spans="2:22" ht="15.75" customHeight="1">
      <c r="B237" s="87"/>
      <c r="C237" s="88"/>
      <c r="D237" s="88"/>
      <c r="E237" s="87"/>
      <c r="F237" s="89"/>
      <c r="G237" s="121"/>
      <c r="H237" s="117"/>
      <c r="I237" s="88"/>
      <c r="J237" s="90"/>
      <c r="K237" s="86"/>
      <c r="L237" s="87"/>
      <c r="M237" s="88" t="s">
        <v>231</v>
      </c>
      <c r="N237" s="88"/>
      <c r="O237" s="87"/>
      <c r="P237" s="86"/>
      <c r="Q237" s="88"/>
      <c r="R237" s="101"/>
      <c r="S237" s="102" t="s">
        <v>225</v>
      </c>
      <c r="T237" s="88"/>
      <c r="U237" s="88"/>
      <c r="V237" s="88"/>
    </row>
    <row r="238" spans="2:22" ht="15.75" customHeight="1">
      <c r="B238" s="103" t="s">
        <v>234</v>
      </c>
      <c r="C238" s="104"/>
      <c r="D238" s="105"/>
      <c r="E238" s="106"/>
      <c r="F238" s="89"/>
      <c r="G238" s="103" t="s">
        <v>234</v>
      </c>
      <c r="H238" s="104"/>
      <c r="I238" s="105"/>
      <c r="J238" s="106"/>
      <c r="K238" s="86"/>
      <c r="L238" s="87"/>
      <c r="M238" s="88"/>
      <c r="N238" s="88"/>
      <c r="O238" s="87"/>
      <c r="P238" s="86"/>
      <c r="Q238" s="88"/>
      <c r="R238" s="101"/>
      <c r="S238" s="102" t="s">
        <v>228</v>
      </c>
      <c r="T238" s="88" t="s">
        <v>229</v>
      </c>
      <c r="U238" s="88" t="s">
        <v>230</v>
      </c>
      <c r="V238" s="88"/>
    </row>
    <row r="239" spans="2:22" ht="15.75" customHeight="1">
      <c r="B239" s="107" t="s">
        <v>168</v>
      </c>
      <c r="C239" s="88" t="s">
        <v>236</v>
      </c>
      <c r="D239" s="107" t="s">
        <v>170</v>
      </c>
      <c r="E239" s="108" t="s">
        <v>237</v>
      </c>
      <c r="F239" s="89"/>
      <c r="G239" s="107" t="s">
        <v>168</v>
      </c>
      <c r="H239" s="88" t="s">
        <v>236</v>
      </c>
      <c r="I239" s="107" t="s">
        <v>170</v>
      </c>
      <c r="J239" s="108" t="s">
        <v>237</v>
      </c>
      <c r="K239" s="86"/>
      <c r="L239" s="87"/>
      <c r="M239" s="88"/>
      <c r="N239" s="88"/>
      <c r="O239" s="87"/>
      <c r="P239" s="86"/>
      <c r="Q239" s="88"/>
      <c r="R239" s="88"/>
      <c r="S239" s="88"/>
      <c r="T239" s="88" t="s">
        <v>232</v>
      </c>
      <c r="U239" s="88" t="s">
        <v>233</v>
      </c>
      <c r="V239" s="88"/>
    </row>
    <row r="240" spans="2:22" ht="15.75" customHeight="1">
      <c r="B240" s="109" t="s">
        <v>175</v>
      </c>
      <c r="C240" s="88" t="s">
        <v>239</v>
      </c>
      <c r="D240" s="93" t="s">
        <v>177</v>
      </c>
      <c r="E240" s="108"/>
      <c r="F240" s="89"/>
      <c r="G240" s="109" t="s">
        <v>175</v>
      </c>
      <c r="H240" s="88" t="s">
        <v>240</v>
      </c>
      <c r="I240" s="93" t="s">
        <v>177</v>
      </c>
      <c r="J240" s="108"/>
      <c r="K240" s="86"/>
      <c r="L240" s="87"/>
      <c r="M240" s="88"/>
      <c r="N240" s="88"/>
      <c r="O240" s="87"/>
      <c r="P240" s="86"/>
      <c r="Q240" s="88"/>
      <c r="R240" s="88" t="s">
        <v>235</v>
      </c>
      <c r="S240" s="124">
        <v>45901</v>
      </c>
      <c r="T240" s="88">
        <v>2</v>
      </c>
      <c r="U240" s="88">
        <v>2</v>
      </c>
      <c r="V240" s="88"/>
    </row>
    <row r="241" spans="2:22" ht="15.75" customHeight="1">
      <c r="B241" s="110" t="s">
        <v>182</v>
      </c>
      <c r="C241" s="88"/>
      <c r="D241" s="88"/>
      <c r="E241" s="87"/>
      <c r="F241" s="89"/>
      <c r="G241" s="110" t="s">
        <v>182</v>
      </c>
      <c r="H241" s="88"/>
      <c r="I241" s="88"/>
      <c r="J241" s="87"/>
      <c r="K241" s="86"/>
      <c r="L241" s="87"/>
      <c r="M241" s="88"/>
      <c r="N241" s="88"/>
      <c r="O241" s="87"/>
      <c r="P241" s="86"/>
      <c r="Q241" s="88"/>
      <c r="R241" s="88" t="s">
        <v>238</v>
      </c>
      <c r="S241" s="124">
        <v>45992</v>
      </c>
      <c r="T241" s="88">
        <v>2</v>
      </c>
      <c r="U241" s="88">
        <v>2</v>
      </c>
      <c r="V241" s="88"/>
    </row>
    <row r="242" spans="2:22" ht="15.75" customHeight="1">
      <c r="B242" s="93" t="s">
        <v>185</v>
      </c>
      <c r="C242" s="88">
        <v>2000</v>
      </c>
      <c r="D242" s="111"/>
      <c r="E242" s="87"/>
      <c r="F242" s="89"/>
      <c r="G242" s="93" t="s">
        <v>185</v>
      </c>
      <c r="H242" s="88">
        <v>2000</v>
      </c>
      <c r="I242" s="111"/>
      <c r="J242" s="87"/>
      <c r="K242" s="86"/>
      <c r="L242" s="87"/>
      <c r="M242" s="88"/>
      <c r="N242" s="88"/>
      <c r="O242" s="87"/>
      <c r="P242" s="86"/>
      <c r="Q242" s="88"/>
      <c r="R242" s="88" t="s">
        <v>241</v>
      </c>
      <c r="S242" s="124">
        <v>46082</v>
      </c>
      <c r="T242" s="88">
        <v>2</v>
      </c>
      <c r="U242" s="88">
        <v>2</v>
      </c>
      <c r="V242" s="88"/>
    </row>
    <row r="243" spans="2:22" ht="15.75" customHeight="1">
      <c r="B243" s="93" t="s">
        <v>188</v>
      </c>
      <c r="C243" s="88">
        <v>20</v>
      </c>
      <c r="D243" s="93" t="s">
        <v>189</v>
      </c>
      <c r="E243" s="88">
        <f>SUM(C245*C244)</f>
        <v>48</v>
      </c>
      <c r="F243" s="89"/>
      <c r="G243" s="93" t="s">
        <v>188</v>
      </c>
      <c r="H243" s="88">
        <v>20</v>
      </c>
      <c r="I243" s="93" t="s">
        <v>189</v>
      </c>
      <c r="J243" s="88">
        <f>SUM(H245*H244)</f>
        <v>32</v>
      </c>
      <c r="K243" s="86"/>
      <c r="L243" s="87"/>
      <c r="M243" s="88"/>
      <c r="N243" s="88"/>
      <c r="O243" s="87"/>
      <c r="P243" s="86"/>
      <c r="Q243" s="88"/>
      <c r="R243" s="94"/>
      <c r="S243" s="92"/>
      <c r="T243" s="88"/>
      <c r="U243" s="88"/>
      <c r="V243" s="88"/>
    </row>
    <row r="244" spans="2:22" ht="15.75" customHeight="1">
      <c r="B244" s="93" t="s">
        <v>192</v>
      </c>
      <c r="C244" s="88">
        <v>4</v>
      </c>
      <c r="D244" s="93" t="s">
        <v>144</v>
      </c>
      <c r="E244" s="113">
        <f>SUM(C243*C242)</f>
        <v>40000</v>
      </c>
      <c r="F244" s="89"/>
      <c r="G244" s="93" t="s">
        <v>192</v>
      </c>
      <c r="H244" s="88">
        <v>4</v>
      </c>
      <c r="I244" s="93" t="s">
        <v>144</v>
      </c>
      <c r="J244" s="113">
        <f>SUM(H243*H242)</f>
        <v>40000</v>
      </c>
      <c r="K244" s="86"/>
      <c r="L244" s="87"/>
      <c r="M244" s="88"/>
      <c r="N244" s="88"/>
      <c r="O244" s="87"/>
      <c r="P244" s="86"/>
      <c r="Q244" s="88"/>
      <c r="R244" s="91" t="s">
        <v>242</v>
      </c>
      <c r="S244" s="90">
        <v>450</v>
      </c>
      <c r="T244" s="88"/>
      <c r="U244" s="88"/>
      <c r="V244" s="88"/>
    </row>
    <row r="245" spans="2:22" ht="15.75" customHeight="1">
      <c r="B245" s="93" t="s">
        <v>195</v>
      </c>
      <c r="C245" s="88">
        <v>12</v>
      </c>
      <c r="D245" s="93" t="s">
        <v>149</v>
      </c>
      <c r="E245" s="113">
        <f>SUM(C245*C244*C243*C242)</f>
        <v>1920000</v>
      </c>
      <c r="F245" s="89"/>
      <c r="G245" s="93" t="s">
        <v>195</v>
      </c>
      <c r="H245" s="88">
        <v>8</v>
      </c>
      <c r="I245" s="93" t="s">
        <v>149</v>
      </c>
      <c r="J245" s="113">
        <f>SUM(H245*H244*H243*H242)</f>
        <v>1280000</v>
      </c>
      <c r="K245" s="86"/>
      <c r="L245" s="87"/>
      <c r="M245" s="88"/>
      <c r="N245" s="88"/>
      <c r="O245" s="87"/>
      <c r="P245" s="86"/>
      <c r="Q245" s="88"/>
      <c r="R245" s="91" t="s">
        <v>243</v>
      </c>
      <c r="S245" s="120">
        <v>50</v>
      </c>
      <c r="T245" s="88"/>
      <c r="U245" s="88"/>
      <c r="V245" s="88"/>
    </row>
    <row r="246" spans="2:22" ht="15.75" customHeight="1">
      <c r="B246" s="93"/>
      <c r="C246" s="88"/>
      <c r="D246" s="88"/>
      <c r="E246" s="87"/>
      <c r="F246" s="89"/>
      <c r="G246" s="93"/>
      <c r="H246" s="88"/>
      <c r="I246" s="88"/>
      <c r="J246" s="87"/>
      <c r="K246" s="86"/>
      <c r="L246" s="87"/>
      <c r="M246" s="88"/>
      <c r="N246" s="88"/>
      <c r="O246" s="87"/>
      <c r="P246" s="86"/>
      <c r="Q246" s="88"/>
      <c r="R246" s="91"/>
      <c r="S246" s="92"/>
      <c r="T246" s="88"/>
      <c r="U246" s="88"/>
      <c r="V246" s="88"/>
    </row>
    <row r="247" spans="2:22" ht="15.75" customHeight="1">
      <c r="B247" s="93"/>
      <c r="C247" s="93" t="s">
        <v>199</v>
      </c>
      <c r="D247" s="93" t="s">
        <v>19</v>
      </c>
      <c r="E247" s="115" t="s">
        <v>18</v>
      </c>
      <c r="F247" s="89"/>
      <c r="G247" s="93"/>
      <c r="H247" s="93" t="s">
        <v>199</v>
      </c>
      <c r="I247" s="93" t="s">
        <v>19</v>
      </c>
      <c r="J247" s="115" t="s">
        <v>18</v>
      </c>
      <c r="K247" s="86"/>
      <c r="L247" s="87"/>
      <c r="M247" s="88"/>
      <c r="N247" s="88"/>
      <c r="O247" s="87"/>
      <c r="P247" s="86"/>
      <c r="Q247" s="88"/>
      <c r="R247" s="91"/>
      <c r="S247" s="92"/>
      <c r="T247" s="88"/>
      <c r="U247" s="88"/>
      <c r="V247" s="88"/>
    </row>
    <row r="248" spans="2:22" ht="15.75" customHeight="1">
      <c r="B248" s="93" t="s">
        <v>202</v>
      </c>
      <c r="C248" s="90" t="e">
        <f>SUM(D248*S211)</f>
        <v>#REF!</v>
      </c>
      <c r="D248" s="90" t="e">
        <f>SUM(E248*S210)</f>
        <v>#REF!</v>
      </c>
      <c r="E248" s="90">
        <v>30</v>
      </c>
      <c r="F248" s="89"/>
      <c r="G248" s="93" t="s">
        <v>202</v>
      </c>
      <c r="H248" s="90" t="e">
        <f>SUM(I248*S212)</f>
        <v>#REF!</v>
      </c>
      <c r="I248" s="90" t="e">
        <f>SUM(J248*S210)</f>
        <v>#REF!</v>
      </c>
      <c r="J248" s="90">
        <v>30</v>
      </c>
      <c r="K248" s="86"/>
      <c r="L248" s="87"/>
      <c r="M248" s="88"/>
      <c r="N248" s="88"/>
      <c r="O248" s="87"/>
      <c r="P248" s="86"/>
      <c r="Q248" s="88"/>
      <c r="R248" s="91"/>
      <c r="S248" s="92"/>
      <c r="T248" s="88"/>
      <c r="U248" s="88"/>
      <c r="V248" s="88"/>
    </row>
    <row r="249" spans="2:22" ht="15.75" customHeight="1">
      <c r="B249" s="93" t="s">
        <v>205</v>
      </c>
      <c r="C249" s="90" t="e">
        <f>SUM(D249*S211)</f>
        <v>#REF!</v>
      </c>
      <c r="D249" s="90" t="e">
        <f>SUM(E249*S210)</f>
        <v>#REF!</v>
      </c>
      <c r="E249" s="90">
        <f>SUM(E248*C243)</f>
        <v>600</v>
      </c>
      <c r="F249" s="89"/>
      <c r="G249" s="93" t="s">
        <v>205</v>
      </c>
      <c r="H249" s="90" t="e">
        <f>SUM(I249*S212)</f>
        <v>#REF!</v>
      </c>
      <c r="I249" s="90" t="e">
        <f>SUM(J249*S210)</f>
        <v>#REF!</v>
      </c>
      <c r="J249" s="90">
        <f>SUM(J248*H243)</f>
        <v>600</v>
      </c>
      <c r="K249" s="86"/>
      <c r="L249" s="87"/>
      <c r="M249" s="88"/>
      <c r="N249" s="88"/>
      <c r="O249" s="87"/>
      <c r="P249" s="86"/>
      <c r="Q249" s="88"/>
      <c r="R249" s="91"/>
      <c r="S249" s="92"/>
      <c r="T249" s="88"/>
      <c r="U249" s="88"/>
      <c r="V249" s="88"/>
    </row>
    <row r="250" spans="2:22" ht="15.75" customHeight="1">
      <c r="B250" s="93" t="s">
        <v>208</v>
      </c>
      <c r="C250" s="90" t="e">
        <f>SUM(D250*S211)</f>
        <v>#REF!</v>
      </c>
      <c r="D250" s="90" t="e">
        <f>SUM(E250*S210)</f>
        <v>#REF!</v>
      </c>
      <c r="E250" s="90">
        <f>SUM(E249*C242)</f>
        <v>1200000</v>
      </c>
      <c r="F250" s="89"/>
      <c r="G250" s="93" t="s">
        <v>208</v>
      </c>
      <c r="H250" s="90" t="e">
        <f>SUM(I250*S212)</f>
        <v>#REF!</v>
      </c>
      <c r="I250" s="90" t="e">
        <f>SUM(J250*S210)</f>
        <v>#REF!</v>
      </c>
      <c r="J250" s="90">
        <f>SUM(J249*H242)</f>
        <v>1200000</v>
      </c>
      <c r="K250" s="86"/>
      <c r="L250" s="87"/>
      <c r="M250" s="88"/>
      <c r="N250" s="88"/>
      <c r="O250" s="87"/>
      <c r="P250" s="86"/>
      <c r="Q250" s="88"/>
      <c r="R250" s="91"/>
      <c r="S250" s="92"/>
      <c r="T250" s="88"/>
      <c r="U250" s="88"/>
      <c r="V250" s="88"/>
    </row>
    <row r="251" spans="2:22" ht="15.75" customHeight="1">
      <c r="B251" s="87" t="s">
        <v>210</v>
      </c>
      <c r="C251" s="96" t="e">
        <f>D250-C250</f>
        <v>#REF!</v>
      </c>
      <c r="D251" s="88"/>
      <c r="E251" s="87"/>
      <c r="F251" s="89"/>
      <c r="G251" s="87" t="s">
        <v>210</v>
      </c>
      <c r="H251" s="96" t="e">
        <f>I250-H250</f>
        <v>#REF!</v>
      </c>
      <c r="I251" s="88"/>
      <c r="J251" s="90"/>
      <c r="K251" s="86"/>
      <c r="L251" s="87"/>
      <c r="M251" s="88"/>
      <c r="N251" s="88"/>
      <c r="O251" s="87"/>
      <c r="P251" s="86"/>
      <c r="Q251" s="88"/>
      <c r="R251" s="91"/>
      <c r="S251" s="92"/>
      <c r="T251" s="88"/>
      <c r="U251" s="88"/>
      <c r="V251" s="88"/>
    </row>
    <row r="252" spans="2:22" ht="15.75" customHeight="1">
      <c r="B252" s="107" t="s">
        <v>213</v>
      </c>
      <c r="C252" s="119" t="e">
        <f>SUM(C250/E245)</f>
        <v>#REF!</v>
      </c>
      <c r="D252" s="88" t="s">
        <v>214</v>
      </c>
      <c r="E252" s="120">
        <f>E245/$V$222</f>
        <v>12800</v>
      </c>
      <c r="F252" s="89"/>
      <c r="G252" s="107" t="s">
        <v>213</v>
      </c>
      <c r="H252" s="119" t="e">
        <f>SUM(H250/J245)</f>
        <v>#REF!</v>
      </c>
      <c r="I252" s="88" t="s">
        <v>214</v>
      </c>
      <c r="J252" s="120">
        <f>J245/$V$222</f>
        <v>8533.3333333333339</v>
      </c>
      <c r="K252" s="86"/>
      <c r="L252" s="87"/>
      <c r="M252" s="88"/>
      <c r="N252" s="88"/>
      <c r="O252" s="87"/>
      <c r="P252" s="86"/>
      <c r="Q252" s="88"/>
      <c r="R252" s="91"/>
      <c r="S252" s="92"/>
      <c r="T252" s="88"/>
      <c r="U252" s="88"/>
      <c r="V252" s="88"/>
    </row>
    <row r="253" spans="2:22" ht="15.75" customHeight="1">
      <c r="B253" s="121" t="s">
        <v>218</v>
      </c>
      <c r="C253" s="119" t="e">
        <f>(D250-C250)/E245</f>
        <v>#REF!</v>
      </c>
      <c r="D253" s="88" t="s">
        <v>219</v>
      </c>
      <c r="E253" s="90" t="e">
        <f>E252*C253*$V$230</f>
        <v>#REF!</v>
      </c>
      <c r="F253" s="89"/>
      <c r="G253" s="121" t="s">
        <v>218</v>
      </c>
      <c r="H253" s="119" t="e">
        <f>(I250-H250)/J245</f>
        <v>#REF!</v>
      </c>
      <c r="I253" s="88" t="s">
        <v>219</v>
      </c>
      <c r="J253" s="90" t="e">
        <f>J252*H253*$V$230</f>
        <v>#REF!</v>
      </c>
      <c r="K253" s="86"/>
      <c r="L253" s="87"/>
      <c r="M253" s="88"/>
      <c r="N253" s="88"/>
      <c r="O253" s="87"/>
      <c r="P253" s="86"/>
      <c r="Q253" s="88"/>
      <c r="R253" s="91"/>
      <c r="S253" s="92"/>
      <c r="T253" s="88"/>
      <c r="U253" s="88"/>
      <c r="V253" s="88"/>
    </row>
    <row r="254" spans="2:22" ht="15.75" customHeight="1">
      <c r="B254" s="122"/>
      <c r="C254" s="91"/>
      <c r="D254" s="91"/>
      <c r="E254" s="87"/>
      <c r="F254" s="531"/>
      <c r="G254" s="122"/>
      <c r="H254" s="91"/>
      <c r="I254" s="91"/>
      <c r="J254" s="90"/>
      <c r="K254" s="532"/>
      <c r="L254" s="87"/>
      <c r="M254" s="88"/>
      <c r="N254" s="88"/>
      <c r="O254" s="87"/>
      <c r="P254" s="532"/>
      <c r="Q254" s="88"/>
      <c r="R254" s="91"/>
      <c r="S254" s="92"/>
      <c r="T254" s="88"/>
      <c r="U254" s="88"/>
      <c r="V254" s="88"/>
    </row>
    <row r="255" spans="2:22" ht="15.75" customHeight="1">
      <c r="B255" s="123"/>
      <c r="C255" s="125"/>
      <c r="D255" s="91"/>
      <c r="E255" s="87"/>
      <c r="F255" s="531"/>
      <c r="G255" s="87"/>
      <c r="H255" s="125"/>
      <c r="I255" s="91"/>
      <c r="J255" s="120"/>
      <c r="K255" s="532"/>
      <c r="L255" s="87"/>
      <c r="M255" s="88"/>
      <c r="N255" s="88"/>
      <c r="O255" s="87"/>
      <c r="P255" s="532"/>
      <c r="Q255" s="88"/>
      <c r="R255" s="91"/>
      <c r="S255" s="92"/>
      <c r="T255" s="88"/>
      <c r="U255" s="88"/>
      <c r="V255" s="88"/>
    </row>
    <row r="256" spans="2:22" ht="15.75" customHeight="1">
      <c r="B256" s="87"/>
      <c r="C256" s="88"/>
      <c r="D256" s="88"/>
      <c r="E256" s="120"/>
      <c r="F256" s="531"/>
      <c r="G256" s="87"/>
      <c r="H256" s="88"/>
      <c r="I256" s="88"/>
      <c r="J256" s="120"/>
      <c r="K256" s="532"/>
      <c r="L256" s="87"/>
      <c r="M256" s="88"/>
      <c r="N256" s="88"/>
      <c r="O256" s="87"/>
      <c r="P256" s="532"/>
      <c r="Q256" s="88"/>
      <c r="R256" s="91"/>
      <c r="S256" s="92"/>
      <c r="T256" s="88"/>
      <c r="U256" s="88"/>
      <c r="V256" s="88"/>
    </row>
    <row r="258" spans="2:69" ht="15.75" customHeight="1">
      <c r="C258" s="8"/>
      <c r="D258" s="8"/>
      <c r="E258" s="87"/>
      <c r="F258" s="531"/>
      <c r="G258" s="87"/>
      <c r="H258" s="8"/>
      <c r="I258" s="8"/>
      <c r="J258" s="87"/>
      <c r="K258" s="532"/>
      <c r="L258" s="87"/>
      <c r="M258" s="8"/>
      <c r="N258" s="8"/>
      <c r="O258" s="87"/>
    </row>
    <row r="259" spans="2:69" ht="15.75" customHeight="1">
      <c r="C259" s="8"/>
      <c r="D259" s="7"/>
      <c r="E259" s="87"/>
      <c r="F259" s="531"/>
      <c r="G259" s="87"/>
      <c r="H259" s="8"/>
      <c r="I259" s="7"/>
      <c r="J259" s="87"/>
      <c r="K259" s="532"/>
      <c r="L259" s="87"/>
      <c r="M259" s="8"/>
      <c r="N259" s="7"/>
      <c r="O259" s="87"/>
    </row>
    <row r="260" spans="2:69" ht="15.75" customHeight="1">
      <c r="C260" s="8"/>
      <c r="D260" s="7"/>
      <c r="E260" s="87"/>
      <c r="F260" s="531"/>
      <c r="G260" s="87"/>
      <c r="H260" s="8"/>
      <c r="I260" s="7"/>
      <c r="J260" s="87"/>
      <c r="K260" s="532"/>
      <c r="L260" s="87"/>
      <c r="M260" s="8"/>
      <c r="N260" s="7"/>
      <c r="O260" s="87"/>
    </row>
    <row r="263" spans="2:69" ht="15" customHeight="1" thickBot="1"/>
    <row r="264" spans="2:69" ht="13.5" customHeight="1">
      <c r="B264" s="492"/>
      <c r="C264" s="492"/>
      <c r="D264" s="493">
        <v>46037</v>
      </c>
      <c r="E264" s="493">
        <f t="shared" ref="E264:I264" si="167">D264+30</f>
        <v>46067</v>
      </c>
      <c r="F264" s="493">
        <f>E264+31</f>
        <v>46098</v>
      </c>
      <c r="G264" s="493">
        <f t="shared" si="167"/>
        <v>46128</v>
      </c>
      <c r="H264" s="493">
        <f>G264+31</f>
        <v>46159</v>
      </c>
      <c r="I264" s="493">
        <f t="shared" si="167"/>
        <v>46189</v>
      </c>
      <c r="J264" s="493">
        <f>I264+31</f>
        <v>46220</v>
      </c>
      <c r="K264" s="493">
        <f>J264+31</f>
        <v>46251</v>
      </c>
      <c r="L264" s="493">
        <f>K264+30</f>
        <v>46281</v>
      </c>
      <c r="M264" s="493">
        <f>L264+31</f>
        <v>46312</v>
      </c>
      <c r="N264" s="493">
        <f>M264+31</f>
        <v>46343</v>
      </c>
      <c r="O264" s="493">
        <f>N264+31</f>
        <v>46374</v>
      </c>
      <c r="P264" s="492"/>
      <c r="Q264" s="493">
        <f>O264+31</f>
        <v>46405</v>
      </c>
      <c r="R264" s="493">
        <f t="shared" ref="R264" si="168">Q264+30</f>
        <v>46435</v>
      </c>
      <c r="S264" s="493">
        <f>R264+31</f>
        <v>46466</v>
      </c>
      <c r="T264" s="493">
        <f t="shared" ref="T264" si="169">S264+30</f>
        <v>46496</v>
      </c>
      <c r="U264" s="493">
        <f>T264+31</f>
        <v>46527</v>
      </c>
      <c r="V264" s="493">
        <f t="shared" ref="V264" si="170">U264+30</f>
        <v>46557</v>
      </c>
      <c r="W264" s="493">
        <f>V264+31</f>
        <v>46588</v>
      </c>
      <c r="X264" s="493">
        <f>W264+31</f>
        <v>46619</v>
      </c>
      <c r="Y264" s="493">
        <f>X264+30</f>
        <v>46649</v>
      </c>
      <c r="Z264" s="493">
        <f>Y264+31</f>
        <v>46680</v>
      </c>
      <c r="AA264" s="493">
        <f>Z264+31</f>
        <v>46711</v>
      </c>
      <c r="AB264" s="493">
        <f>AA264+31</f>
        <v>46742</v>
      </c>
      <c r="AC264" s="492"/>
      <c r="AD264" s="493">
        <f>AB264+31</f>
        <v>46773</v>
      </c>
      <c r="AE264" s="493">
        <f t="shared" ref="AE264" si="171">AD264+30</f>
        <v>46803</v>
      </c>
      <c r="AF264" s="493">
        <f>AE264+31</f>
        <v>46834</v>
      </c>
      <c r="AG264" s="493">
        <f t="shared" ref="AG264" si="172">AF264+30</f>
        <v>46864</v>
      </c>
      <c r="AH264" s="493">
        <f>AG264+31</f>
        <v>46895</v>
      </c>
      <c r="AI264" s="493">
        <f>AH264+30</f>
        <v>46925</v>
      </c>
      <c r="AJ264" s="493">
        <f>AI264+31</f>
        <v>46956</v>
      </c>
      <c r="AK264" s="493">
        <f>AJ264+31</f>
        <v>46987</v>
      </c>
      <c r="AL264" s="493">
        <f>AK264+30</f>
        <v>47017</v>
      </c>
      <c r="AM264" s="493">
        <f>AL264+31</f>
        <v>47048</v>
      </c>
      <c r="AN264" s="493">
        <f>AM264+31</f>
        <v>47079</v>
      </c>
      <c r="AO264" s="493">
        <f>AN264+31</f>
        <v>47110</v>
      </c>
      <c r="AP264" s="492"/>
      <c r="AQ264" s="493">
        <f>AO264+31</f>
        <v>47141</v>
      </c>
      <c r="AR264" s="493">
        <f t="shared" ref="AR264" si="173">AQ264+30</f>
        <v>47171</v>
      </c>
      <c r="AS264" s="493">
        <f>AR264+31</f>
        <v>47202</v>
      </c>
      <c r="AT264" s="493">
        <f t="shared" ref="AT264" si="174">AS264+30</f>
        <v>47232</v>
      </c>
      <c r="AU264" s="493">
        <f>AT264+31</f>
        <v>47263</v>
      </c>
      <c r="AV264" s="493">
        <f t="shared" ref="AV264" si="175">AU264+30</f>
        <v>47293</v>
      </c>
      <c r="AW264" s="493">
        <f>AV264+31</f>
        <v>47324</v>
      </c>
      <c r="AX264" s="493">
        <f>AW264+31</f>
        <v>47355</v>
      </c>
      <c r="AY264" s="493">
        <f>AX264+30</f>
        <v>47385</v>
      </c>
      <c r="AZ264" s="493">
        <f>AY264+31</f>
        <v>47416</v>
      </c>
      <c r="BA264" s="493">
        <f>AZ264+31</f>
        <v>47447</v>
      </c>
      <c r="BB264" s="493">
        <f>BA264+31</f>
        <v>47478</v>
      </c>
      <c r="BC264" s="494"/>
      <c r="BD264" s="493">
        <f>BB264+31</f>
        <v>47509</v>
      </c>
      <c r="BE264" s="493">
        <f t="shared" ref="BE264" si="176">BD264+30</f>
        <v>47539</v>
      </c>
      <c r="BF264" s="493">
        <f>BE264+31</f>
        <v>47570</v>
      </c>
      <c r="BG264" s="493">
        <f t="shared" ref="BG264" si="177">BF264+30</f>
        <v>47600</v>
      </c>
      <c r="BH264" s="493">
        <f>BG264+31</f>
        <v>47631</v>
      </c>
      <c r="BI264" s="493">
        <f t="shared" ref="BI264" si="178">BH264+30</f>
        <v>47661</v>
      </c>
      <c r="BJ264" s="493">
        <f>BI264+31</f>
        <v>47692</v>
      </c>
      <c r="BK264" s="493">
        <f>BJ264+31</f>
        <v>47723</v>
      </c>
      <c r="BL264" s="493">
        <f>BK264+30</f>
        <v>47753</v>
      </c>
      <c r="BM264" s="493">
        <f>BL264+31</f>
        <v>47784</v>
      </c>
      <c r="BN264" s="493">
        <f>BM264+31</f>
        <v>47815</v>
      </c>
      <c r="BO264" s="493">
        <f>BN264+31</f>
        <v>47846</v>
      </c>
      <c r="BP264" s="494"/>
      <c r="BQ264" s="495"/>
    </row>
    <row r="265" spans="2:69" ht="13.5" customHeight="1">
      <c r="B265" s="375"/>
      <c r="C265" s="375"/>
      <c r="D265" s="332" t="s">
        <v>49</v>
      </c>
      <c r="E265" s="332" t="s">
        <v>50</v>
      </c>
      <c r="F265" s="332" t="s">
        <v>51</v>
      </c>
      <c r="G265" s="332" t="s">
        <v>52</v>
      </c>
      <c r="H265" s="332" t="s">
        <v>53</v>
      </c>
      <c r="I265" s="332" t="s">
        <v>54</v>
      </c>
      <c r="J265" s="332" t="s">
        <v>55</v>
      </c>
      <c r="K265" s="332" t="s">
        <v>56</v>
      </c>
      <c r="L265" s="332" t="s">
        <v>57</v>
      </c>
      <c r="M265" s="332" t="s">
        <v>58</v>
      </c>
      <c r="N265" s="332" t="s">
        <v>59</v>
      </c>
      <c r="O265" s="332" t="s">
        <v>60</v>
      </c>
      <c r="P265" s="333" t="s">
        <v>65</v>
      </c>
      <c r="Q265" s="332" t="s">
        <v>291</v>
      </c>
      <c r="R265" s="332" t="s">
        <v>308</v>
      </c>
      <c r="S265" s="332" t="s">
        <v>309</v>
      </c>
      <c r="T265" s="332" t="s">
        <v>310</v>
      </c>
      <c r="U265" s="332" t="s">
        <v>311</v>
      </c>
      <c r="V265" s="332" t="s">
        <v>312</v>
      </c>
      <c r="W265" s="332" t="s">
        <v>313</v>
      </c>
      <c r="X265" s="332" t="s">
        <v>314</v>
      </c>
      <c r="Y265" s="332" t="s">
        <v>315</v>
      </c>
      <c r="Z265" s="332" t="s">
        <v>316</v>
      </c>
      <c r="AA265" s="332" t="s">
        <v>317</v>
      </c>
      <c r="AB265" s="332" t="s">
        <v>318</v>
      </c>
      <c r="AC265" s="334" t="s">
        <v>121</v>
      </c>
      <c r="AD265" s="332" t="s">
        <v>319</v>
      </c>
      <c r="AE265" s="332" t="s">
        <v>320</v>
      </c>
      <c r="AF265" s="332" t="s">
        <v>321</v>
      </c>
      <c r="AG265" s="332" t="s">
        <v>322</v>
      </c>
      <c r="AH265" s="332" t="s">
        <v>323</v>
      </c>
      <c r="AI265" s="332" t="s">
        <v>324</v>
      </c>
      <c r="AJ265" s="332" t="s">
        <v>325</v>
      </c>
      <c r="AK265" s="332" t="s">
        <v>326</v>
      </c>
      <c r="AL265" s="332" t="s">
        <v>327</v>
      </c>
      <c r="AM265" s="332" t="s">
        <v>328</v>
      </c>
      <c r="AN265" s="332" t="s">
        <v>329</v>
      </c>
      <c r="AO265" s="332" t="s">
        <v>330</v>
      </c>
      <c r="AP265" s="334" t="s">
        <v>122</v>
      </c>
      <c r="AQ265" s="335" t="s">
        <v>331</v>
      </c>
      <c r="AR265" s="335" t="s">
        <v>332</v>
      </c>
      <c r="AS265" s="335" t="s">
        <v>333</v>
      </c>
      <c r="AT265" s="335" t="s">
        <v>334</v>
      </c>
      <c r="AU265" s="335" t="s">
        <v>335</v>
      </c>
      <c r="AV265" s="335" t="s">
        <v>336</v>
      </c>
      <c r="AW265" s="335" t="s">
        <v>337</v>
      </c>
      <c r="AX265" s="335" t="s">
        <v>338</v>
      </c>
      <c r="AY265" s="335" t="s">
        <v>339</v>
      </c>
      <c r="AZ265" s="335" t="s">
        <v>340</v>
      </c>
      <c r="BA265" s="335" t="s">
        <v>341</v>
      </c>
      <c r="BB265" s="335" t="s">
        <v>342</v>
      </c>
      <c r="BC265" s="334" t="s">
        <v>123</v>
      </c>
      <c r="BD265" s="335" t="s">
        <v>343</v>
      </c>
      <c r="BE265" s="335" t="s">
        <v>344</v>
      </c>
      <c r="BF265" s="335" t="s">
        <v>345</v>
      </c>
      <c r="BG265" s="335" t="s">
        <v>346</v>
      </c>
      <c r="BH265" s="335" t="s">
        <v>347</v>
      </c>
      <c r="BI265" s="335" t="s">
        <v>348</v>
      </c>
      <c r="BJ265" s="335" t="s">
        <v>349</v>
      </c>
      <c r="BK265" s="335" t="s">
        <v>350</v>
      </c>
      <c r="BL265" s="335" t="s">
        <v>351</v>
      </c>
      <c r="BM265" s="335" t="s">
        <v>352</v>
      </c>
      <c r="BN265" s="335" t="s">
        <v>353</v>
      </c>
      <c r="BO265" s="335" t="s">
        <v>354</v>
      </c>
      <c r="BP265" s="334" t="s">
        <v>124</v>
      </c>
      <c r="BQ265" s="496" t="s">
        <v>125</v>
      </c>
    </row>
    <row r="266" spans="2:69" ht="13.5" customHeight="1">
      <c r="B266" s="376" t="s">
        <v>20</v>
      </c>
      <c r="C266" s="376"/>
      <c r="D266" s="336"/>
      <c r="E266" s="336"/>
      <c r="F266" s="336"/>
      <c r="G266" s="336"/>
      <c r="H266" s="336"/>
      <c r="I266" s="336"/>
      <c r="J266" s="336"/>
      <c r="K266" s="336"/>
      <c r="L266" s="336"/>
      <c r="M266" s="336"/>
      <c r="N266" s="336"/>
      <c r="O266" s="336"/>
      <c r="P266" s="337"/>
      <c r="Q266" s="336"/>
      <c r="R266" s="336"/>
      <c r="S266" s="336"/>
      <c r="T266" s="336"/>
      <c r="U266" s="336"/>
      <c r="V266" s="336"/>
      <c r="W266" s="336"/>
      <c r="X266" s="336"/>
      <c r="Y266" s="336"/>
      <c r="Z266" s="336"/>
      <c r="AA266" s="336"/>
      <c r="AB266" s="336"/>
      <c r="AC266" s="337"/>
      <c r="AD266" s="336"/>
      <c r="AE266" s="336"/>
      <c r="AF266" s="336"/>
      <c r="AG266" s="336"/>
      <c r="AH266" s="336"/>
      <c r="AI266" s="336"/>
      <c r="AJ266" s="336"/>
      <c r="AK266" s="336"/>
      <c r="AL266" s="336"/>
      <c r="AM266" s="336"/>
      <c r="AN266" s="336"/>
      <c r="AO266" s="336"/>
      <c r="AP266" s="337"/>
      <c r="AQ266" s="338"/>
      <c r="AR266" s="338"/>
      <c r="AS266" s="338"/>
      <c r="AT266" s="338"/>
      <c r="AU266" s="338"/>
      <c r="AV266" s="338"/>
      <c r="AW266" s="338"/>
      <c r="AX266" s="338"/>
      <c r="AY266" s="338"/>
      <c r="AZ266" s="338"/>
      <c r="BA266" s="338"/>
      <c r="BB266" s="338"/>
      <c r="BC266" s="339"/>
      <c r="BD266" s="338"/>
      <c r="BE266" s="338"/>
      <c r="BF266" s="338"/>
      <c r="BG266" s="338"/>
      <c r="BH266" s="338"/>
      <c r="BI266" s="338"/>
      <c r="BJ266" s="338"/>
      <c r="BK266" s="338"/>
      <c r="BL266" s="338"/>
      <c r="BM266" s="338"/>
      <c r="BN266" s="338"/>
      <c r="BO266" s="338"/>
      <c r="BP266" s="339"/>
      <c r="BQ266" s="497"/>
    </row>
    <row r="267" spans="2:69" ht="13.5" customHeight="1" thickBot="1">
      <c r="B267" s="503" t="s">
        <v>738</v>
      </c>
      <c r="C267" s="498"/>
      <c r="D267" s="499">
        <v>0</v>
      </c>
      <c r="E267" s="499">
        <v>0</v>
      </c>
      <c r="F267" s="530">
        <v>0</v>
      </c>
      <c r="G267" s="499">
        <v>0</v>
      </c>
      <c r="H267" s="499"/>
      <c r="I267" s="499">
        <f>D258</f>
        <v>0</v>
      </c>
      <c r="J267" s="530">
        <v>0</v>
      </c>
      <c r="K267" s="499">
        <v>0</v>
      </c>
      <c r="L267" s="530">
        <v>0</v>
      </c>
      <c r="M267" s="499">
        <v>0</v>
      </c>
      <c r="N267" s="499">
        <v>0</v>
      </c>
      <c r="O267" s="499">
        <f>I258</f>
        <v>0</v>
      </c>
      <c r="P267" s="500">
        <f t="shared" ref="P267:P270" si="179">SUM(D267:O267)</f>
        <v>0</v>
      </c>
      <c r="Q267" s="499">
        <v>0</v>
      </c>
      <c r="R267" s="499">
        <v>0</v>
      </c>
      <c r="S267" s="530">
        <v>0</v>
      </c>
      <c r="T267" s="499">
        <v>0</v>
      </c>
      <c r="U267" s="499">
        <v>0</v>
      </c>
      <c r="V267" s="499">
        <f>N258</f>
        <v>0</v>
      </c>
      <c r="W267" s="499">
        <v>0</v>
      </c>
      <c r="X267" s="499">
        <v>0</v>
      </c>
      <c r="Y267" s="530">
        <v>0</v>
      </c>
      <c r="Z267" s="499">
        <v>0</v>
      </c>
      <c r="AA267" s="499">
        <v>0</v>
      </c>
      <c r="AB267" s="499">
        <f>S258</f>
        <v>0</v>
      </c>
      <c r="AC267" s="500">
        <f t="shared" ref="AC267:AC270" si="180">SUM(Q267:AB267)</f>
        <v>0</v>
      </c>
      <c r="AD267" s="499">
        <v>0</v>
      </c>
      <c r="AE267" s="499">
        <v>0</v>
      </c>
      <c r="AF267" s="530">
        <v>0</v>
      </c>
      <c r="AG267" s="499">
        <v>0</v>
      </c>
      <c r="AH267" s="499">
        <v>0</v>
      </c>
      <c r="AI267" s="499">
        <f>X258</f>
        <v>0</v>
      </c>
      <c r="AJ267" s="499">
        <v>0</v>
      </c>
      <c r="AK267" s="499">
        <v>0</v>
      </c>
      <c r="AL267" s="499">
        <v>0</v>
      </c>
      <c r="AM267" s="499">
        <v>0</v>
      </c>
      <c r="AN267" s="499">
        <v>0</v>
      </c>
      <c r="AO267" s="499">
        <v>0</v>
      </c>
      <c r="AP267" s="500">
        <f>SUM(AD267:AO267)</f>
        <v>0</v>
      </c>
      <c r="AQ267" s="499">
        <v>0</v>
      </c>
      <c r="AR267" s="499">
        <v>0</v>
      </c>
      <c r="AS267" s="499">
        <v>0</v>
      </c>
      <c r="AT267" s="499">
        <v>0</v>
      </c>
      <c r="AU267" s="499">
        <v>0</v>
      </c>
      <c r="AV267" s="499">
        <v>0</v>
      </c>
      <c r="AW267" s="499">
        <v>0</v>
      </c>
      <c r="AX267" s="499">
        <v>0</v>
      </c>
      <c r="AY267" s="499">
        <v>0</v>
      </c>
      <c r="AZ267" s="499">
        <v>0</v>
      </c>
      <c r="BA267" s="501">
        <v>0</v>
      </c>
      <c r="BB267" s="499">
        <v>0</v>
      </c>
      <c r="BC267" s="500">
        <f t="shared" ref="BC267:BC270" si="181">SUM(AQ267:BB267)</f>
        <v>0</v>
      </c>
      <c r="BD267" s="499">
        <v>0</v>
      </c>
      <c r="BE267" s="499">
        <v>0</v>
      </c>
      <c r="BF267" s="499">
        <v>0</v>
      </c>
      <c r="BG267" s="499">
        <v>0</v>
      </c>
      <c r="BH267" s="499">
        <v>0</v>
      </c>
      <c r="BI267" s="499">
        <v>0</v>
      </c>
      <c r="BJ267" s="499">
        <v>0</v>
      </c>
      <c r="BK267" s="499">
        <v>0</v>
      </c>
      <c r="BL267" s="499">
        <v>0</v>
      </c>
      <c r="BM267" s="499">
        <v>0</v>
      </c>
      <c r="BN267" s="501">
        <v>0</v>
      </c>
      <c r="BO267" s="499">
        <v>0</v>
      </c>
      <c r="BP267" s="500">
        <f t="shared" ref="BP267" si="182">SUM(BD267:BO267)</f>
        <v>0</v>
      </c>
      <c r="BQ267" s="502">
        <f>P267+AC267+AP267+BC267+BP267</f>
        <v>0</v>
      </c>
    </row>
    <row r="268" spans="2:69" ht="13.5" customHeight="1" thickBot="1">
      <c r="B268" s="503" t="s">
        <v>739</v>
      </c>
      <c r="C268" s="498"/>
      <c r="D268" s="499"/>
      <c r="E268" s="499"/>
      <c r="F268" s="530">
        <v>0</v>
      </c>
      <c r="G268" s="499"/>
      <c r="H268" s="499"/>
      <c r="I268" s="499">
        <f>-D259</f>
        <v>0</v>
      </c>
      <c r="J268" s="499"/>
      <c r="K268" s="499"/>
      <c r="L268" s="530">
        <v>0</v>
      </c>
      <c r="M268" s="499"/>
      <c r="N268" s="499"/>
      <c r="O268" s="499">
        <f>-I259</f>
        <v>0</v>
      </c>
      <c r="P268" s="500">
        <f t="shared" si="179"/>
        <v>0</v>
      </c>
      <c r="Q268" s="499"/>
      <c r="R268" s="499"/>
      <c r="S268" s="530">
        <v>0</v>
      </c>
      <c r="T268" s="499"/>
      <c r="U268" s="499"/>
      <c r="V268" s="499">
        <f>-N259</f>
        <v>0</v>
      </c>
      <c r="W268" s="499"/>
      <c r="X268" s="499"/>
      <c r="Y268" s="530">
        <v>0</v>
      </c>
      <c r="Z268" s="499"/>
      <c r="AA268" s="499"/>
      <c r="AB268" s="499">
        <f>-S259</f>
        <v>0</v>
      </c>
      <c r="AC268" s="500">
        <f t="shared" si="180"/>
        <v>0</v>
      </c>
      <c r="AD268" s="499"/>
      <c r="AE268" s="499"/>
      <c r="AF268" s="530">
        <v>0</v>
      </c>
      <c r="AG268" s="499"/>
      <c r="AH268" s="499"/>
      <c r="AI268" s="499">
        <f>-X259</f>
        <v>0</v>
      </c>
      <c r="AJ268" s="499"/>
      <c r="AK268" s="499"/>
      <c r="AL268" s="499"/>
      <c r="AM268" s="499"/>
      <c r="AN268" s="499"/>
      <c r="AO268" s="499"/>
      <c r="AP268" s="500">
        <f>SUM(AD268:AO268)</f>
        <v>0</v>
      </c>
      <c r="AQ268" s="499"/>
      <c r="AR268" s="499"/>
      <c r="AS268" s="499"/>
      <c r="AT268" s="499"/>
      <c r="AU268" s="499"/>
      <c r="AV268" s="499"/>
      <c r="AW268" s="499"/>
      <c r="AX268" s="499"/>
      <c r="AY268" s="499"/>
      <c r="AZ268" s="499"/>
      <c r="BA268" s="501"/>
      <c r="BB268" s="499"/>
      <c r="BC268" s="500">
        <f t="shared" si="181"/>
        <v>0</v>
      </c>
      <c r="BD268" s="499"/>
      <c r="BE268" s="499"/>
      <c r="BF268" s="499"/>
      <c r="BG268" s="499"/>
      <c r="BH268" s="499"/>
      <c r="BI268" s="499"/>
      <c r="BJ268" s="499"/>
      <c r="BK268" s="499"/>
      <c r="BL268" s="499"/>
      <c r="BM268" s="499"/>
      <c r="BN268" s="501"/>
      <c r="BO268" s="499"/>
      <c r="BP268" s="500">
        <f t="shared" ref="BP268:BP270" si="183">SUM(BD268:BO268)</f>
        <v>0</v>
      </c>
      <c r="BQ268" s="502">
        <f>P268+AC268+AP268+BC268+BP268</f>
        <v>0</v>
      </c>
    </row>
    <row r="269" spans="2:69" ht="13.5" customHeight="1" thickBot="1">
      <c r="B269" s="503" t="s">
        <v>740</v>
      </c>
      <c r="C269" s="498">
        <f>'Model Assumptions'!D241</f>
        <v>0</v>
      </c>
      <c r="D269" s="499">
        <f t="shared" ref="D269:E269" si="184">D267*$C$62</f>
        <v>0</v>
      </c>
      <c r="E269" s="499">
        <f t="shared" si="184"/>
        <v>0</v>
      </c>
      <c r="F269" s="499">
        <f>F267*$C$62</f>
        <v>0</v>
      </c>
      <c r="G269" s="499">
        <f t="shared" ref="G269:O269" si="185">G267*$C$62</f>
        <v>0</v>
      </c>
      <c r="H269" s="499">
        <f t="shared" si="185"/>
        <v>0</v>
      </c>
      <c r="I269" s="499">
        <f t="shared" si="185"/>
        <v>0</v>
      </c>
      <c r="J269" s="499">
        <f t="shared" si="185"/>
        <v>0</v>
      </c>
      <c r="K269" s="499">
        <f t="shared" si="185"/>
        <v>0</v>
      </c>
      <c r="L269" s="499">
        <f t="shared" si="185"/>
        <v>0</v>
      </c>
      <c r="M269" s="499">
        <f t="shared" si="185"/>
        <v>0</v>
      </c>
      <c r="N269" s="499">
        <f t="shared" si="185"/>
        <v>0</v>
      </c>
      <c r="O269" s="499">
        <f t="shared" si="185"/>
        <v>0</v>
      </c>
      <c r="P269" s="500">
        <f t="shared" si="179"/>
        <v>0</v>
      </c>
      <c r="Q269" s="499">
        <f t="shared" ref="Q269:R269" si="186">Q267*$C$62</f>
        <v>0</v>
      </c>
      <c r="R269" s="499">
        <f t="shared" si="186"/>
        <v>0</v>
      </c>
      <c r="S269" s="499">
        <f>S267*$C$62</f>
        <v>0</v>
      </c>
      <c r="T269" s="499">
        <f t="shared" ref="T269:AB269" si="187">T267*$C$62</f>
        <v>0</v>
      </c>
      <c r="U269" s="499">
        <f t="shared" si="187"/>
        <v>0</v>
      </c>
      <c r="V269" s="499">
        <f t="shared" si="187"/>
        <v>0</v>
      </c>
      <c r="W269" s="499">
        <f t="shared" si="187"/>
        <v>0</v>
      </c>
      <c r="X269" s="499">
        <f t="shared" si="187"/>
        <v>0</v>
      </c>
      <c r="Y269" s="499">
        <f t="shared" si="187"/>
        <v>0</v>
      </c>
      <c r="Z269" s="499">
        <f t="shared" si="187"/>
        <v>0</v>
      </c>
      <c r="AA269" s="499">
        <f t="shared" si="187"/>
        <v>0</v>
      </c>
      <c r="AB269" s="499">
        <f t="shared" si="187"/>
        <v>0</v>
      </c>
      <c r="AC269" s="500">
        <f t="shared" si="180"/>
        <v>0</v>
      </c>
      <c r="AD269" s="499">
        <f t="shared" ref="AD269:AE269" si="188">AD267*$C$62</f>
        <v>0</v>
      </c>
      <c r="AE269" s="499">
        <f t="shared" si="188"/>
        <v>0</v>
      </c>
      <c r="AF269" s="499">
        <f>AF267*$C$62</f>
        <v>0</v>
      </c>
      <c r="AG269" s="499">
        <f t="shared" ref="AG269:AO269" si="189">AG267*$C$62</f>
        <v>0</v>
      </c>
      <c r="AH269" s="499">
        <f t="shared" si="189"/>
        <v>0</v>
      </c>
      <c r="AI269" s="499">
        <f t="shared" si="189"/>
        <v>0</v>
      </c>
      <c r="AJ269" s="499">
        <f t="shared" si="189"/>
        <v>0</v>
      </c>
      <c r="AK269" s="499">
        <f t="shared" si="189"/>
        <v>0</v>
      </c>
      <c r="AL269" s="499">
        <f t="shared" si="189"/>
        <v>0</v>
      </c>
      <c r="AM269" s="499">
        <f t="shared" si="189"/>
        <v>0</v>
      </c>
      <c r="AN269" s="499">
        <f t="shared" si="189"/>
        <v>0</v>
      </c>
      <c r="AO269" s="499">
        <f t="shared" si="189"/>
        <v>0</v>
      </c>
      <c r="AP269" s="500">
        <f>SUM(AD269:AO269)</f>
        <v>0</v>
      </c>
      <c r="AQ269" s="499">
        <f t="shared" ref="AQ269:AR269" si="190">AQ267*$C$62</f>
        <v>0</v>
      </c>
      <c r="AR269" s="499">
        <f t="shared" si="190"/>
        <v>0</v>
      </c>
      <c r="AS269" s="499">
        <f>AS267*$C$62</f>
        <v>0</v>
      </c>
      <c r="AT269" s="499">
        <f t="shared" ref="AT269:BB269" si="191">AT267*$C$62</f>
        <v>0</v>
      </c>
      <c r="AU269" s="499">
        <f t="shared" si="191"/>
        <v>0</v>
      </c>
      <c r="AV269" s="499">
        <f t="shared" si="191"/>
        <v>0</v>
      </c>
      <c r="AW269" s="499">
        <f t="shared" si="191"/>
        <v>0</v>
      </c>
      <c r="AX269" s="499">
        <f t="shared" si="191"/>
        <v>0</v>
      </c>
      <c r="AY269" s="499">
        <f t="shared" si="191"/>
        <v>0</v>
      </c>
      <c r="AZ269" s="499">
        <f t="shared" si="191"/>
        <v>0</v>
      </c>
      <c r="BA269" s="499">
        <f t="shared" si="191"/>
        <v>0</v>
      </c>
      <c r="BB269" s="499">
        <f t="shared" si="191"/>
        <v>0</v>
      </c>
      <c r="BC269" s="500">
        <f t="shared" si="181"/>
        <v>0</v>
      </c>
      <c r="BD269" s="499">
        <f t="shared" ref="BD269:BE269" si="192">BD267*$C$62</f>
        <v>0</v>
      </c>
      <c r="BE269" s="499">
        <f t="shared" si="192"/>
        <v>0</v>
      </c>
      <c r="BF269" s="499">
        <f>BF267*$C$62</f>
        <v>0</v>
      </c>
      <c r="BG269" s="499">
        <f t="shared" ref="BG269:BO269" si="193">BG267*$C$62</f>
        <v>0</v>
      </c>
      <c r="BH269" s="499">
        <f t="shared" si="193"/>
        <v>0</v>
      </c>
      <c r="BI269" s="499">
        <f t="shared" si="193"/>
        <v>0</v>
      </c>
      <c r="BJ269" s="499">
        <f t="shared" si="193"/>
        <v>0</v>
      </c>
      <c r="BK269" s="499">
        <f t="shared" si="193"/>
        <v>0</v>
      </c>
      <c r="BL269" s="499">
        <f t="shared" si="193"/>
        <v>0</v>
      </c>
      <c r="BM269" s="499">
        <f t="shared" si="193"/>
        <v>0</v>
      </c>
      <c r="BN269" s="499">
        <f t="shared" si="193"/>
        <v>0</v>
      </c>
      <c r="BO269" s="499">
        <f t="shared" si="193"/>
        <v>0</v>
      </c>
      <c r="BP269" s="500">
        <f t="shared" si="183"/>
        <v>0</v>
      </c>
      <c r="BQ269" s="502">
        <f>P269+AC269+AP269+BC269+BP269</f>
        <v>0</v>
      </c>
    </row>
    <row r="270" spans="2:69" ht="13.5" customHeight="1" thickBot="1">
      <c r="B270" s="503" t="s">
        <v>741</v>
      </c>
      <c r="C270" s="498">
        <f>'Model Assumptions'!D235+'Model Assumptions'!D236</f>
        <v>0</v>
      </c>
      <c r="D270" s="499">
        <v>50000</v>
      </c>
      <c r="E270" s="499" t="e">
        <f t="shared" ref="E270" si="194">(E267-E268)*$C$63</f>
        <v>#VALUE!</v>
      </c>
      <c r="F270" s="499">
        <v>50000</v>
      </c>
      <c r="G270" s="499" t="e">
        <f t="shared" ref="G270:O270" si="195">(G267-G268)*$C$63</f>
        <v>#VALUE!</v>
      </c>
      <c r="H270" s="499" t="e">
        <f t="shared" si="195"/>
        <v>#VALUE!</v>
      </c>
      <c r="I270" s="499" t="e">
        <f>(I267-I268)*$C$63-F270-D270</f>
        <v>#VALUE!</v>
      </c>
      <c r="J270" s="499" t="e">
        <f t="shared" si="195"/>
        <v>#VALUE!</v>
      </c>
      <c r="K270" s="499" t="e">
        <f t="shared" si="195"/>
        <v>#VALUE!</v>
      </c>
      <c r="L270" s="499" t="e">
        <f t="shared" si="195"/>
        <v>#VALUE!</v>
      </c>
      <c r="M270" s="499" t="e">
        <f t="shared" si="195"/>
        <v>#VALUE!</v>
      </c>
      <c r="N270" s="499" t="e">
        <f t="shared" si="195"/>
        <v>#VALUE!</v>
      </c>
      <c r="O270" s="499" t="e">
        <f t="shared" si="195"/>
        <v>#VALUE!</v>
      </c>
      <c r="P270" s="500" t="e">
        <f t="shared" si="179"/>
        <v>#VALUE!</v>
      </c>
      <c r="Q270" s="499" t="e">
        <f t="shared" ref="Q270:R270" si="196">(Q267-Q268)*$C$63</f>
        <v>#VALUE!</v>
      </c>
      <c r="R270" s="499" t="e">
        <f t="shared" si="196"/>
        <v>#VALUE!</v>
      </c>
      <c r="S270" s="499" t="e">
        <f>(S267-S268)*$C$63</f>
        <v>#VALUE!</v>
      </c>
      <c r="T270" s="499" t="e">
        <f t="shared" ref="T270:AB270" si="197">(T267-T268)*$C$63</f>
        <v>#VALUE!</v>
      </c>
      <c r="U270" s="499" t="e">
        <f t="shared" si="197"/>
        <v>#VALUE!</v>
      </c>
      <c r="V270" s="499" t="e">
        <f t="shared" si="197"/>
        <v>#VALUE!</v>
      </c>
      <c r="W270" s="499" t="e">
        <f t="shared" si="197"/>
        <v>#VALUE!</v>
      </c>
      <c r="X270" s="499" t="e">
        <f t="shared" si="197"/>
        <v>#VALUE!</v>
      </c>
      <c r="Y270" s="499" t="e">
        <f t="shared" si="197"/>
        <v>#VALUE!</v>
      </c>
      <c r="Z270" s="499" t="e">
        <f t="shared" si="197"/>
        <v>#VALUE!</v>
      </c>
      <c r="AA270" s="499" t="e">
        <f t="shared" si="197"/>
        <v>#VALUE!</v>
      </c>
      <c r="AB270" s="499" t="e">
        <f t="shared" si="197"/>
        <v>#VALUE!</v>
      </c>
      <c r="AC270" s="500" t="e">
        <f t="shared" si="180"/>
        <v>#VALUE!</v>
      </c>
      <c r="AD270" s="499" t="e">
        <f t="shared" ref="AD270:AE270" si="198">(AD267-AD268)*$C$63</f>
        <v>#VALUE!</v>
      </c>
      <c r="AE270" s="499" t="e">
        <f t="shared" si="198"/>
        <v>#VALUE!</v>
      </c>
      <c r="AF270" s="499" t="e">
        <f>(AF267-AF268)*$C$63</f>
        <v>#VALUE!</v>
      </c>
      <c r="AG270" s="499" t="e">
        <f t="shared" ref="AG270:AO270" si="199">(AG267-AG268)*$C$63</f>
        <v>#VALUE!</v>
      </c>
      <c r="AH270" s="499" t="e">
        <f t="shared" si="199"/>
        <v>#VALUE!</v>
      </c>
      <c r="AI270" s="499" t="e">
        <f t="shared" si="199"/>
        <v>#VALUE!</v>
      </c>
      <c r="AJ270" s="499" t="e">
        <f t="shared" si="199"/>
        <v>#VALUE!</v>
      </c>
      <c r="AK270" s="499" t="e">
        <f t="shared" si="199"/>
        <v>#VALUE!</v>
      </c>
      <c r="AL270" s="499" t="e">
        <f t="shared" si="199"/>
        <v>#VALUE!</v>
      </c>
      <c r="AM270" s="499" t="e">
        <f t="shared" si="199"/>
        <v>#VALUE!</v>
      </c>
      <c r="AN270" s="499" t="e">
        <f t="shared" si="199"/>
        <v>#VALUE!</v>
      </c>
      <c r="AO270" s="499" t="e">
        <f t="shared" si="199"/>
        <v>#VALUE!</v>
      </c>
      <c r="AP270" s="500" t="e">
        <f>SUM(AD270:AO270)</f>
        <v>#VALUE!</v>
      </c>
      <c r="AQ270" s="499" t="e">
        <f t="shared" ref="AQ270:AR270" si="200">(AQ267-AQ268)*$C$63</f>
        <v>#VALUE!</v>
      </c>
      <c r="AR270" s="499" t="e">
        <f t="shared" si="200"/>
        <v>#VALUE!</v>
      </c>
      <c r="AS270" s="499" t="e">
        <f>(AS267-AS268)*$C$63</f>
        <v>#VALUE!</v>
      </c>
      <c r="AT270" s="499" t="e">
        <f t="shared" ref="AT270:BB270" si="201">(AT267-AT268)*$C$63</f>
        <v>#VALUE!</v>
      </c>
      <c r="AU270" s="499" t="e">
        <f t="shared" si="201"/>
        <v>#VALUE!</v>
      </c>
      <c r="AV270" s="499" t="e">
        <f t="shared" si="201"/>
        <v>#VALUE!</v>
      </c>
      <c r="AW270" s="499" t="e">
        <f t="shared" si="201"/>
        <v>#VALUE!</v>
      </c>
      <c r="AX270" s="499" t="e">
        <f t="shared" si="201"/>
        <v>#VALUE!</v>
      </c>
      <c r="AY270" s="499" t="e">
        <f t="shared" si="201"/>
        <v>#VALUE!</v>
      </c>
      <c r="AZ270" s="499" t="e">
        <f t="shared" si="201"/>
        <v>#VALUE!</v>
      </c>
      <c r="BA270" s="499" t="e">
        <f t="shared" si="201"/>
        <v>#VALUE!</v>
      </c>
      <c r="BB270" s="499" t="e">
        <f t="shared" si="201"/>
        <v>#VALUE!</v>
      </c>
      <c r="BC270" s="500" t="e">
        <f t="shared" si="181"/>
        <v>#VALUE!</v>
      </c>
      <c r="BD270" s="499" t="e">
        <f t="shared" ref="BD270:BE270" si="202">(BD267-BD268)*$C$63</f>
        <v>#VALUE!</v>
      </c>
      <c r="BE270" s="499" t="e">
        <f t="shared" si="202"/>
        <v>#VALUE!</v>
      </c>
      <c r="BF270" s="499" t="e">
        <f>(BF267-BF268)*$C$63</f>
        <v>#VALUE!</v>
      </c>
      <c r="BG270" s="499" t="e">
        <f t="shared" ref="BG270:BO270" si="203">(BG267-BG268)*$C$63</f>
        <v>#VALUE!</v>
      </c>
      <c r="BH270" s="499" t="e">
        <f t="shared" si="203"/>
        <v>#VALUE!</v>
      </c>
      <c r="BI270" s="499" t="e">
        <f t="shared" si="203"/>
        <v>#VALUE!</v>
      </c>
      <c r="BJ270" s="499" t="e">
        <f t="shared" si="203"/>
        <v>#VALUE!</v>
      </c>
      <c r="BK270" s="499" t="e">
        <f t="shared" si="203"/>
        <v>#VALUE!</v>
      </c>
      <c r="BL270" s="499" t="e">
        <f t="shared" si="203"/>
        <v>#VALUE!</v>
      </c>
      <c r="BM270" s="499" t="e">
        <f t="shared" si="203"/>
        <v>#VALUE!</v>
      </c>
      <c r="BN270" s="499" t="e">
        <f t="shared" si="203"/>
        <v>#VALUE!</v>
      </c>
      <c r="BO270" s="499" t="e">
        <f t="shared" si="203"/>
        <v>#VALUE!</v>
      </c>
      <c r="BP270" s="500" t="e">
        <f t="shared" si="183"/>
        <v>#VALUE!</v>
      </c>
      <c r="BQ270" s="502" t="e">
        <f>P270+AC270+AP270+BC270+BP270</f>
        <v>#VALUE!</v>
      </c>
    </row>
    <row r="271" spans="2:69" s="293" customFormat="1" ht="13.5" customHeight="1" thickBot="1">
      <c r="B271" s="504" t="s">
        <v>727</v>
      </c>
      <c r="C271" s="505"/>
      <c r="D271" s="506">
        <f>D267-D268-D269-D270</f>
        <v>-50000</v>
      </c>
      <c r="E271" s="506" t="e">
        <f t="shared" ref="E271:O271" si="204">E267-E268-E269-E270</f>
        <v>#VALUE!</v>
      </c>
      <c r="F271" s="506">
        <f t="shared" si="204"/>
        <v>-50000</v>
      </c>
      <c r="G271" s="506" t="e">
        <f t="shared" si="204"/>
        <v>#VALUE!</v>
      </c>
      <c r="H271" s="506" t="e">
        <f t="shared" si="204"/>
        <v>#VALUE!</v>
      </c>
      <c r="I271" s="506" t="e">
        <f t="shared" si="204"/>
        <v>#VALUE!</v>
      </c>
      <c r="J271" s="506" t="e">
        <f t="shared" si="204"/>
        <v>#VALUE!</v>
      </c>
      <c r="K271" s="506" t="e">
        <f t="shared" si="204"/>
        <v>#VALUE!</v>
      </c>
      <c r="L271" s="506" t="e">
        <f t="shared" si="204"/>
        <v>#VALUE!</v>
      </c>
      <c r="M271" s="506" t="e">
        <f t="shared" si="204"/>
        <v>#VALUE!</v>
      </c>
      <c r="N271" s="506" t="e">
        <f t="shared" si="204"/>
        <v>#VALUE!</v>
      </c>
      <c r="O271" s="506" t="e">
        <f t="shared" si="204"/>
        <v>#VALUE!</v>
      </c>
      <c r="P271" s="507" t="e">
        <f t="shared" ref="P271" si="205">SUM(D271:O271)</f>
        <v>#VALUE!</v>
      </c>
      <c r="Q271" s="506" t="e">
        <f>Q267-Q268-Q269-Q270</f>
        <v>#VALUE!</v>
      </c>
      <c r="R271" s="506" t="e">
        <f t="shared" ref="R271:AB271" si="206">R267-R268-R269-R270</f>
        <v>#VALUE!</v>
      </c>
      <c r="S271" s="506" t="e">
        <f t="shared" si="206"/>
        <v>#VALUE!</v>
      </c>
      <c r="T271" s="506" t="e">
        <f t="shared" si="206"/>
        <v>#VALUE!</v>
      </c>
      <c r="U271" s="506" t="e">
        <f t="shared" si="206"/>
        <v>#VALUE!</v>
      </c>
      <c r="V271" s="506" t="e">
        <f t="shared" si="206"/>
        <v>#VALUE!</v>
      </c>
      <c r="W271" s="506" t="e">
        <f t="shared" si="206"/>
        <v>#VALUE!</v>
      </c>
      <c r="X271" s="506" t="e">
        <f t="shared" si="206"/>
        <v>#VALUE!</v>
      </c>
      <c r="Y271" s="506" t="e">
        <f t="shared" si="206"/>
        <v>#VALUE!</v>
      </c>
      <c r="Z271" s="506" t="e">
        <f t="shared" si="206"/>
        <v>#VALUE!</v>
      </c>
      <c r="AA271" s="506" t="e">
        <f t="shared" si="206"/>
        <v>#VALUE!</v>
      </c>
      <c r="AB271" s="506" t="e">
        <f t="shared" si="206"/>
        <v>#VALUE!</v>
      </c>
      <c r="AC271" s="507" t="e">
        <f t="shared" ref="AC271" si="207">SUM(Q271:AB271)</f>
        <v>#VALUE!</v>
      </c>
      <c r="AD271" s="506" t="e">
        <f>AD267-AD268-AD269-AD270</f>
        <v>#VALUE!</v>
      </c>
      <c r="AE271" s="506" t="e">
        <f t="shared" ref="AE271:AO271" si="208">AE267-AE268-AE269-AE270</f>
        <v>#VALUE!</v>
      </c>
      <c r="AF271" s="506" t="e">
        <f t="shared" si="208"/>
        <v>#VALUE!</v>
      </c>
      <c r="AG271" s="506" t="e">
        <f t="shared" si="208"/>
        <v>#VALUE!</v>
      </c>
      <c r="AH271" s="506" t="e">
        <f t="shared" si="208"/>
        <v>#VALUE!</v>
      </c>
      <c r="AI271" s="506" t="e">
        <f t="shared" si="208"/>
        <v>#VALUE!</v>
      </c>
      <c r="AJ271" s="506" t="e">
        <f t="shared" si="208"/>
        <v>#VALUE!</v>
      </c>
      <c r="AK271" s="506" t="e">
        <f t="shared" si="208"/>
        <v>#VALUE!</v>
      </c>
      <c r="AL271" s="506" t="e">
        <f t="shared" si="208"/>
        <v>#VALUE!</v>
      </c>
      <c r="AM271" s="506" t="e">
        <f t="shared" si="208"/>
        <v>#VALUE!</v>
      </c>
      <c r="AN271" s="506" t="e">
        <f t="shared" si="208"/>
        <v>#VALUE!</v>
      </c>
      <c r="AO271" s="506" t="e">
        <f t="shared" si="208"/>
        <v>#VALUE!</v>
      </c>
      <c r="AP271" s="507" t="e">
        <f>SUM(AD271:AO271)</f>
        <v>#VALUE!</v>
      </c>
      <c r="AQ271" s="506" t="e">
        <f>AQ267-AQ268-AQ269-AQ270</f>
        <v>#VALUE!</v>
      </c>
      <c r="AR271" s="506" t="e">
        <f t="shared" ref="AR271:BB271" si="209">AR267-AR268-AR269-AR270</f>
        <v>#VALUE!</v>
      </c>
      <c r="AS271" s="506" t="e">
        <f t="shared" si="209"/>
        <v>#VALUE!</v>
      </c>
      <c r="AT271" s="506" t="e">
        <f t="shared" si="209"/>
        <v>#VALUE!</v>
      </c>
      <c r="AU271" s="506" t="e">
        <f t="shared" si="209"/>
        <v>#VALUE!</v>
      </c>
      <c r="AV271" s="506" t="e">
        <f t="shared" si="209"/>
        <v>#VALUE!</v>
      </c>
      <c r="AW271" s="506" t="e">
        <f t="shared" si="209"/>
        <v>#VALUE!</v>
      </c>
      <c r="AX271" s="506" t="e">
        <f t="shared" si="209"/>
        <v>#VALUE!</v>
      </c>
      <c r="AY271" s="506" t="e">
        <f t="shared" si="209"/>
        <v>#VALUE!</v>
      </c>
      <c r="AZ271" s="506" t="e">
        <f t="shared" si="209"/>
        <v>#VALUE!</v>
      </c>
      <c r="BA271" s="506" t="e">
        <f t="shared" si="209"/>
        <v>#VALUE!</v>
      </c>
      <c r="BB271" s="506" t="e">
        <f t="shared" si="209"/>
        <v>#VALUE!</v>
      </c>
      <c r="BC271" s="507" t="e">
        <f t="shared" ref="BC271" si="210">SUM(AQ271:BB271)</f>
        <v>#VALUE!</v>
      </c>
      <c r="BD271" s="506" t="e">
        <f>BD267-BD268-BD269-BD270</f>
        <v>#VALUE!</v>
      </c>
      <c r="BE271" s="506" t="e">
        <f t="shared" ref="BE271:BO271" si="211">BE267-BE268-BE269-BE270</f>
        <v>#VALUE!</v>
      </c>
      <c r="BF271" s="506" t="e">
        <f t="shared" si="211"/>
        <v>#VALUE!</v>
      </c>
      <c r="BG271" s="506" t="e">
        <f t="shared" si="211"/>
        <v>#VALUE!</v>
      </c>
      <c r="BH271" s="506" t="e">
        <f t="shared" si="211"/>
        <v>#VALUE!</v>
      </c>
      <c r="BI271" s="506" t="e">
        <f t="shared" si="211"/>
        <v>#VALUE!</v>
      </c>
      <c r="BJ271" s="506" t="e">
        <f t="shared" si="211"/>
        <v>#VALUE!</v>
      </c>
      <c r="BK271" s="506" t="e">
        <f t="shared" si="211"/>
        <v>#VALUE!</v>
      </c>
      <c r="BL271" s="506" t="e">
        <f t="shared" si="211"/>
        <v>#VALUE!</v>
      </c>
      <c r="BM271" s="506" t="e">
        <f t="shared" si="211"/>
        <v>#VALUE!</v>
      </c>
      <c r="BN271" s="506" t="e">
        <f t="shared" si="211"/>
        <v>#VALUE!</v>
      </c>
      <c r="BO271" s="506" t="e">
        <f t="shared" si="211"/>
        <v>#VALUE!</v>
      </c>
      <c r="BP271" s="507" t="e">
        <f t="shared" ref="BP271" si="212">SUM(BD271:BO271)</f>
        <v>#VALUE!</v>
      </c>
      <c r="BQ271" s="508" t="e">
        <f>P271+AC271+AP271+BC271+BP271</f>
        <v>#VALUE!</v>
      </c>
    </row>
  </sheetData>
  <mergeCells count="24">
    <mergeCell ref="B208:E208"/>
    <mergeCell ref="G208:J208"/>
    <mergeCell ref="L208:O208"/>
    <mergeCell ref="B54:U54"/>
    <mergeCell ref="C55:H55"/>
    <mergeCell ref="J55:N55"/>
    <mergeCell ref="Q55:U55"/>
    <mergeCell ref="B94:U94"/>
    <mergeCell ref="C95:H95"/>
    <mergeCell ref="J95:N95"/>
    <mergeCell ref="Q95:U95"/>
    <mergeCell ref="B145:U145"/>
    <mergeCell ref="C146:H146"/>
    <mergeCell ref="J146:N146"/>
    <mergeCell ref="Q146:U146"/>
    <mergeCell ref="B207:O207"/>
    <mergeCell ref="C26:H26"/>
    <mergeCell ref="J26:N26"/>
    <mergeCell ref="Q26:U26"/>
    <mergeCell ref="B1:U1"/>
    <mergeCell ref="C2:H2"/>
    <mergeCell ref="J2:N2"/>
    <mergeCell ref="Q2:U2"/>
    <mergeCell ref="B25:U25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4AA3-C9C9-E749-857F-4C5E8720BCDB}">
  <dimension ref="A1:N209"/>
  <sheetViews>
    <sheetView workbookViewId="0">
      <selection activeCell="P26" sqref="P26"/>
    </sheetView>
  </sheetViews>
  <sheetFormatPr baseColWidth="10" defaultColWidth="8.6640625" defaultRowHeight="15"/>
  <cols>
    <col min="1" max="1" width="13.83203125" style="556" bestFit="1" customWidth="1"/>
    <col min="2" max="2" width="2.83203125" style="543" customWidth="1"/>
    <col min="3" max="3" width="13.83203125" style="556" bestFit="1" customWidth="1"/>
    <col min="4" max="4" width="2.6640625" style="556" customWidth="1"/>
    <col min="5" max="5" width="10.33203125" style="543" bestFit="1" customWidth="1"/>
    <col min="6" max="6" width="2.6640625" style="745" customWidth="1"/>
    <col min="7" max="7" width="9.6640625" style="746" customWidth="1"/>
    <col min="8" max="8" width="2.6640625" style="747" customWidth="1"/>
    <col min="9" max="9" width="9.5" style="747" bestFit="1" customWidth="1"/>
    <col min="10" max="10" width="2.6640625" style="746" customWidth="1"/>
    <col min="11" max="11" width="10.1640625" style="747" bestFit="1" customWidth="1"/>
    <col min="12" max="12" width="2.6640625" style="746" customWidth="1"/>
    <col min="13" max="13" width="10.1640625" style="747" bestFit="1" customWidth="1"/>
    <col min="14" max="14" width="9.83203125" style="556" customWidth="1"/>
    <col min="15" max="16384" width="8.6640625" style="556"/>
  </cols>
  <sheetData>
    <row r="1" spans="1:14">
      <c r="A1" s="1154" t="s">
        <v>873</v>
      </c>
      <c r="B1" s="1154"/>
      <c r="C1" s="1154"/>
      <c r="D1" s="1154"/>
      <c r="E1" s="1154"/>
      <c r="F1" s="1154"/>
      <c r="G1" s="1154"/>
      <c r="H1" s="1154"/>
      <c r="I1" s="1154"/>
      <c r="J1" s="1154"/>
      <c r="K1" s="1154"/>
      <c r="L1" s="1154"/>
      <c r="M1" s="1154"/>
      <c r="N1" s="543"/>
    </row>
    <row r="2" spans="1:14">
      <c r="A2" s="741"/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</row>
    <row r="3" spans="1:14" ht="16" thickBot="1">
      <c r="A3" s="741"/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741"/>
    </row>
    <row r="4" spans="1:14" ht="16" thickBot="1">
      <c r="A4" s="742" t="s">
        <v>29</v>
      </c>
      <c r="B4" s="743"/>
      <c r="C4" s="743"/>
      <c r="D4" s="743"/>
      <c r="E4" s="743"/>
      <c r="F4" s="743"/>
      <c r="G4" s="744"/>
      <c r="H4" s="551"/>
      <c r="I4" s="745"/>
      <c r="M4" s="746"/>
      <c r="N4" s="747"/>
    </row>
    <row r="5" spans="1:14">
      <c r="A5" s="748" t="s">
        <v>731</v>
      </c>
      <c r="B5" s="749"/>
      <c r="C5" s="749"/>
      <c r="D5" s="749"/>
      <c r="E5" s="749"/>
      <c r="F5" s="749"/>
      <c r="G5" s="750"/>
      <c r="H5" s="551"/>
      <c r="I5" s="745"/>
      <c r="M5" s="746"/>
      <c r="N5" s="747"/>
    </row>
    <row r="6" spans="1:14">
      <c r="A6" s="751"/>
      <c r="B6" s="752" t="s">
        <v>872</v>
      </c>
      <c r="C6" s="737"/>
      <c r="D6" s="737"/>
      <c r="E6" s="737"/>
      <c r="F6" s="737"/>
      <c r="G6" s="738">
        <f>'Model Assumptions'!D8</f>
        <v>0.25</v>
      </c>
      <c r="H6" s="551"/>
      <c r="I6" s="745"/>
      <c r="M6" s="746"/>
      <c r="N6" s="747"/>
    </row>
    <row r="7" spans="1:14">
      <c r="A7" s="751"/>
      <c r="B7" s="752" t="s">
        <v>735</v>
      </c>
      <c r="C7" s="737"/>
      <c r="D7" s="737"/>
      <c r="E7" s="737"/>
      <c r="F7" s="737"/>
      <c r="G7" s="738">
        <f>'Model Assumptions'!D9</f>
        <v>0.2</v>
      </c>
      <c r="H7" s="551"/>
      <c r="I7" s="745"/>
      <c r="M7" s="746"/>
      <c r="N7" s="747"/>
    </row>
    <row r="8" spans="1:14">
      <c r="A8" s="751"/>
      <c r="B8" s="752"/>
      <c r="C8" s="737"/>
      <c r="D8" s="737"/>
      <c r="E8" s="737"/>
      <c r="F8" s="737"/>
      <c r="G8" s="738"/>
      <c r="H8" s="551"/>
      <c r="I8" s="745"/>
      <c r="M8" s="746"/>
      <c r="N8" s="747"/>
    </row>
    <row r="9" spans="1:14">
      <c r="A9" s="751" t="s">
        <v>732</v>
      </c>
      <c r="B9" s="753"/>
      <c r="C9" s="753"/>
      <c r="D9" s="753"/>
      <c r="E9" s="753"/>
      <c r="F9" s="753"/>
      <c r="G9" s="754"/>
      <c r="H9" s="551"/>
      <c r="I9" s="745"/>
      <c r="M9" s="746"/>
      <c r="N9" s="747"/>
    </row>
    <row r="10" spans="1:14">
      <c r="A10" s="751"/>
      <c r="B10" s="752" t="s">
        <v>861</v>
      </c>
      <c r="C10" s="737"/>
      <c r="D10" s="737"/>
      <c r="E10" s="737"/>
      <c r="F10" s="737"/>
      <c r="G10" s="738">
        <f>'Model Assumptions'!D14</f>
        <v>0.6</v>
      </c>
      <c r="H10" s="551"/>
      <c r="I10" s="745"/>
      <c r="M10" s="746"/>
      <c r="N10" s="747"/>
    </row>
    <row r="11" spans="1:14">
      <c r="A11" s="751"/>
      <c r="B11" s="752" t="s">
        <v>862</v>
      </c>
      <c r="C11" s="737"/>
      <c r="D11" s="737"/>
      <c r="E11" s="737"/>
      <c r="F11" s="737"/>
      <c r="G11" s="738">
        <f>'Model Assumptions'!D15</f>
        <v>0.5</v>
      </c>
      <c r="H11" s="551"/>
      <c r="I11" s="745"/>
      <c r="M11" s="746"/>
      <c r="N11" s="747"/>
    </row>
    <row r="12" spans="1:14">
      <c r="A12" s="751"/>
      <c r="B12" s="752" t="s">
        <v>863</v>
      </c>
      <c r="C12" s="737"/>
      <c r="D12" s="737"/>
      <c r="E12" s="737"/>
      <c r="F12" s="737"/>
      <c r="G12" s="738">
        <f>'Model Assumptions'!D19</f>
        <v>0.05</v>
      </c>
      <c r="H12" s="551"/>
      <c r="I12" s="745"/>
      <c r="M12" s="746"/>
      <c r="N12" s="747"/>
    </row>
    <row r="13" spans="1:14">
      <c r="A13" s="751"/>
      <c r="B13" s="752" t="s">
        <v>736</v>
      </c>
      <c r="C13" s="737"/>
      <c r="D13" s="737"/>
      <c r="E13" s="737"/>
      <c r="F13" s="737"/>
      <c r="G13" s="738">
        <f>'Model Assumptions'!D20</f>
        <v>0.01</v>
      </c>
      <c r="H13" s="551"/>
      <c r="I13" s="745"/>
      <c r="M13" s="746"/>
      <c r="N13" s="747"/>
    </row>
    <row r="14" spans="1:14" ht="16" thickBot="1">
      <c r="A14" s="755"/>
      <c r="B14" s="756" t="s">
        <v>729</v>
      </c>
      <c r="C14" s="739"/>
      <c r="D14" s="739"/>
      <c r="E14" s="739"/>
      <c r="F14" s="739"/>
      <c r="G14" s="740">
        <v>0.47</v>
      </c>
      <c r="H14" s="551"/>
      <c r="I14" s="745"/>
      <c r="M14" s="746"/>
      <c r="N14" s="747"/>
    </row>
    <row r="15" spans="1:14" ht="16" thickBot="1">
      <c r="D15" s="543"/>
      <c r="E15" s="551"/>
      <c r="I15" s="746"/>
      <c r="N15" s="543"/>
    </row>
    <row r="16" spans="1:14" ht="16" thickBot="1">
      <c r="A16" s="1155" t="s">
        <v>235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7"/>
      <c r="N16" s="543"/>
    </row>
    <row r="17" spans="1:14">
      <c r="A17" s="759"/>
      <c r="B17" s="760"/>
      <c r="C17" s="761"/>
      <c r="D17" s="760"/>
      <c r="E17" s="761"/>
      <c r="F17" s="762"/>
      <c r="G17" s="763"/>
      <c r="H17" s="764"/>
      <c r="I17" s="763"/>
      <c r="J17" s="764"/>
      <c r="K17" s="764"/>
      <c r="L17" s="763"/>
      <c r="M17" s="765"/>
      <c r="N17" s="757"/>
    </row>
    <row r="18" spans="1:14">
      <c r="A18" s="759" t="s">
        <v>874</v>
      </c>
      <c r="B18" s="760"/>
      <c r="C18" s="766" t="s">
        <v>875</v>
      </c>
      <c r="D18" s="760"/>
      <c r="E18" s="767"/>
      <c r="F18" s="762"/>
      <c r="G18" s="763"/>
      <c r="H18" s="764"/>
      <c r="I18" s="763"/>
      <c r="J18" s="768"/>
      <c r="K18" s="764"/>
      <c r="L18" s="763"/>
      <c r="M18" s="765"/>
      <c r="N18" s="757"/>
    </row>
    <row r="19" spans="1:14">
      <c r="A19" s="759" t="s">
        <v>876</v>
      </c>
      <c r="B19" s="760"/>
      <c r="C19" s="766">
        <v>46357</v>
      </c>
      <c r="D19" s="760"/>
      <c r="E19" s="767"/>
      <c r="F19" s="762"/>
      <c r="G19" s="763"/>
      <c r="H19" s="764"/>
      <c r="I19" s="763"/>
      <c r="J19" s="768"/>
      <c r="K19" s="764"/>
      <c r="L19" s="763"/>
      <c r="M19" s="765"/>
      <c r="N19" s="757"/>
    </row>
    <row r="20" spans="1:14" ht="16" thickBot="1">
      <c r="A20" s="759"/>
      <c r="B20" s="760"/>
      <c r="C20" s="761"/>
      <c r="D20" s="760"/>
      <c r="E20" s="761"/>
      <c r="F20" s="762"/>
      <c r="G20" s="763"/>
      <c r="H20" s="764"/>
      <c r="I20" s="763"/>
      <c r="J20" s="764"/>
      <c r="K20" s="764"/>
      <c r="L20" s="763"/>
      <c r="M20" s="765"/>
      <c r="N20" s="757"/>
    </row>
    <row r="21" spans="1:14" ht="16" thickBot="1">
      <c r="A21" s="1155" t="s">
        <v>877</v>
      </c>
      <c r="B21" s="1156"/>
      <c r="C21" s="1156"/>
      <c r="D21" s="1156"/>
      <c r="E21" s="1156"/>
      <c r="F21" s="1156"/>
      <c r="G21" s="1156"/>
      <c r="H21" s="1156"/>
      <c r="I21" s="1156"/>
      <c r="J21" s="1156"/>
      <c r="K21" s="1156"/>
      <c r="L21" s="1156"/>
      <c r="M21" s="1157"/>
      <c r="N21" s="757"/>
    </row>
    <row r="22" spans="1:14">
      <c r="A22" s="769" t="s">
        <v>878</v>
      </c>
      <c r="B22" s="770"/>
      <c r="C22" s="770" t="s">
        <v>879</v>
      </c>
      <c r="D22" s="770"/>
      <c r="E22" s="770" t="s">
        <v>880</v>
      </c>
      <c r="F22" s="771"/>
      <c r="G22" s="772" t="s">
        <v>881</v>
      </c>
      <c r="H22" s="773"/>
      <c r="I22" s="772" t="s">
        <v>515</v>
      </c>
      <c r="J22" s="773"/>
      <c r="K22" s="773" t="s">
        <v>516</v>
      </c>
      <c r="L22" s="772"/>
      <c r="M22" s="774" t="s">
        <v>517</v>
      </c>
      <c r="N22" s="757"/>
    </row>
    <row r="23" spans="1:14" ht="16">
      <c r="A23" s="759" t="s">
        <v>169</v>
      </c>
      <c r="B23" s="775"/>
      <c r="C23" s="776" t="s">
        <v>882</v>
      </c>
      <c r="D23" s="777"/>
      <c r="E23" s="778">
        <v>119.99</v>
      </c>
      <c r="F23" s="779"/>
      <c r="G23" s="780">
        <v>2500</v>
      </c>
      <c r="H23" s="781"/>
      <c r="I23" s="780">
        <v>12</v>
      </c>
      <c r="J23" s="780"/>
      <c r="K23" s="780">
        <v>24</v>
      </c>
      <c r="L23" s="780"/>
      <c r="M23" s="782">
        <v>10</v>
      </c>
      <c r="N23" s="757"/>
    </row>
    <row r="24" spans="1:14">
      <c r="A24" s="759" t="s">
        <v>883</v>
      </c>
      <c r="B24" s="775"/>
      <c r="C24" s="777" t="s">
        <v>884</v>
      </c>
      <c r="D24" s="777"/>
      <c r="E24" s="778">
        <v>0</v>
      </c>
      <c r="F24" s="779"/>
      <c r="G24" s="780">
        <v>0</v>
      </c>
      <c r="H24" s="780"/>
      <c r="I24" s="780">
        <v>0</v>
      </c>
      <c r="J24" s="780"/>
      <c r="K24" s="780">
        <v>0</v>
      </c>
      <c r="L24" s="780"/>
      <c r="M24" s="783">
        <v>0</v>
      </c>
      <c r="N24" s="757"/>
    </row>
    <row r="25" spans="1:14">
      <c r="A25" s="759" t="s">
        <v>885</v>
      </c>
      <c r="B25" s="775"/>
      <c r="C25" s="777" t="s">
        <v>882</v>
      </c>
      <c r="D25" s="777"/>
      <c r="E25" s="778">
        <v>24.99</v>
      </c>
      <c r="F25" s="779"/>
      <c r="G25" s="780">
        <v>1600</v>
      </c>
      <c r="H25" s="780"/>
      <c r="I25" s="780">
        <v>20</v>
      </c>
      <c r="J25" s="780"/>
      <c r="K25" s="780">
        <v>6</v>
      </c>
      <c r="L25" s="780"/>
      <c r="M25" s="783">
        <v>12</v>
      </c>
      <c r="N25" s="757"/>
    </row>
    <row r="26" spans="1:14">
      <c r="A26" s="759" t="s">
        <v>886</v>
      </c>
      <c r="B26" s="775"/>
      <c r="C26" s="777" t="s">
        <v>882</v>
      </c>
      <c r="D26" s="777"/>
      <c r="E26" s="778">
        <v>14.99</v>
      </c>
      <c r="F26" s="779"/>
      <c r="G26" s="780">
        <v>1600</v>
      </c>
      <c r="H26" s="780"/>
      <c r="I26" s="780">
        <v>40</v>
      </c>
      <c r="J26" s="780"/>
      <c r="K26" s="780">
        <v>1</v>
      </c>
      <c r="L26" s="780"/>
      <c r="M26" s="783">
        <v>30</v>
      </c>
      <c r="N26" s="757"/>
    </row>
    <row r="27" spans="1:14" ht="16" thickBot="1">
      <c r="A27" s="784" t="s">
        <v>887</v>
      </c>
      <c r="B27" s="785"/>
      <c r="C27" s="786" t="s">
        <v>882</v>
      </c>
      <c r="D27" s="786"/>
      <c r="E27" s="787">
        <v>149.99</v>
      </c>
      <c r="F27" s="788"/>
      <c r="G27" s="789">
        <v>0</v>
      </c>
      <c r="H27" s="789"/>
      <c r="I27" s="789">
        <v>500</v>
      </c>
      <c r="J27" s="789"/>
      <c r="K27" s="789">
        <v>0</v>
      </c>
      <c r="L27" s="789"/>
      <c r="M27" s="790">
        <v>270</v>
      </c>
      <c r="N27" s="757"/>
    </row>
    <row r="28" spans="1:14" ht="16" thickBot="1">
      <c r="B28" s="757"/>
      <c r="D28" s="791"/>
      <c r="G28" s="792"/>
      <c r="I28" s="793"/>
      <c r="L28" s="792"/>
      <c r="N28" s="791"/>
    </row>
    <row r="29" spans="1:14" ht="16" thickBot="1">
      <c r="A29" s="1158" t="s">
        <v>238</v>
      </c>
      <c r="B29" s="1159"/>
      <c r="C29" s="1159"/>
      <c r="D29" s="1159"/>
      <c r="E29" s="1159"/>
      <c r="F29" s="1159"/>
      <c r="G29" s="1159"/>
      <c r="H29" s="1159"/>
      <c r="I29" s="1159"/>
      <c r="J29" s="1159"/>
      <c r="K29" s="1159"/>
      <c r="L29" s="1159"/>
      <c r="M29" s="1160"/>
      <c r="N29" s="794"/>
    </row>
    <row r="30" spans="1:14">
      <c r="A30" s="795"/>
      <c r="B30" s="796"/>
      <c r="C30" s="797"/>
      <c r="D30" s="796"/>
      <c r="E30" s="797"/>
      <c r="F30" s="798"/>
      <c r="G30" s="799"/>
      <c r="H30" s="800"/>
      <c r="I30" s="799"/>
      <c r="J30" s="800"/>
      <c r="K30" s="800"/>
      <c r="L30" s="799"/>
      <c r="M30" s="801"/>
      <c r="N30" s="757"/>
    </row>
    <row r="31" spans="1:14">
      <c r="A31" s="795" t="s">
        <v>874</v>
      </c>
      <c r="B31" s="796"/>
      <c r="C31" s="797" t="s">
        <v>888</v>
      </c>
      <c r="D31" s="796"/>
      <c r="E31" s="797"/>
      <c r="F31" s="798"/>
      <c r="G31" s="799"/>
      <c r="H31" s="800"/>
      <c r="I31" s="799"/>
      <c r="J31" s="800"/>
      <c r="K31" s="800"/>
      <c r="L31" s="799"/>
      <c r="M31" s="801"/>
      <c r="N31" s="757"/>
    </row>
    <row r="32" spans="1:14">
      <c r="A32" s="795" t="s">
        <v>876</v>
      </c>
      <c r="B32" s="796"/>
      <c r="C32" s="802">
        <v>46419</v>
      </c>
      <c r="D32" s="796"/>
      <c r="E32" s="803"/>
      <c r="F32" s="798"/>
      <c r="G32" s="799"/>
      <c r="H32" s="800"/>
      <c r="I32" s="799"/>
      <c r="J32" s="804"/>
      <c r="K32" s="800"/>
      <c r="L32" s="799"/>
      <c r="M32" s="801"/>
    </row>
    <row r="33" spans="1:14" ht="16" thickBot="1">
      <c r="A33" s="795"/>
      <c r="B33" s="796"/>
      <c r="C33" s="797"/>
      <c r="D33" s="796"/>
      <c r="E33" s="797"/>
      <c r="F33" s="798"/>
      <c r="G33" s="799"/>
      <c r="H33" s="800"/>
      <c r="I33" s="799"/>
      <c r="J33" s="800"/>
      <c r="K33" s="800"/>
      <c r="L33" s="799"/>
      <c r="M33" s="801"/>
      <c r="N33" s="791"/>
    </row>
    <row r="34" spans="1:14" ht="16" thickBot="1">
      <c r="A34" s="1158" t="s">
        <v>877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60"/>
      <c r="N34" s="757"/>
    </row>
    <row r="35" spans="1:14">
      <c r="A35" s="805" t="s">
        <v>878</v>
      </c>
      <c r="B35" s="806"/>
      <c r="C35" s="806" t="s">
        <v>879</v>
      </c>
      <c r="D35" s="806"/>
      <c r="E35" s="806" t="s">
        <v>880</v>
      </c>
      <c r="F35" s="807"/>
      <c r="G35" s="808" t="s">
        <v>881</v>
      </c>
      <c r="H35" s="809"/>
      <c r="I35" s="808" t="s">
        <v>515</v>
      </c>
      <c r="J35" s="809"/>
      <c r="K35" s="809" t="s">
        <v>516</v>
      </c>
      <c r="L35" s="808"/>
      <c r="M35" s="810" t="s">
        <v>517</v>
      </c>
      <c r="N35" s="757"/>
    </row>
    <row r="36" spans="1:14" ht="16">
      <c r="A36" s="795" t="s">
        <v>169</v>
      </c>
      <c r="B36" s="811"/>
      <c r="C36" s="812" t="s">
        <v>882</v>
      </c>
      <c r="D36" s="813"/>
      <c r="E36" s="814">
        <v>249.99</v>
      </c>
      <c r="F36" s="815"/>
      <c r="G36" s="816">
        <v>4000</v>
      </c>
      <c r="H36" s="817"/>
      <c r="I36" s="816">
        <v>12</v>
      </c>
      <c r="J36" s="816"/>
      <c r="K36" s="816">
        <v>12</v>
      </c>
      <c r="L36" s="816"/>
      <c r="M36" s="818">
        <v>12</v>
      </c>
      <c r="N36" s="757"/>
    </row>
    <row r="37" spans="1:14">
      <c r="A37" s="795" t="s">
        <v>883</v>
      </c>
      <c r="B37" s="811"/>
      <c r="C37" s="813" t="s">
        <v>882</v>
      </c>
      <c r="D37" s="813"/>
      <c r="E37" s="814">
        <v>49.99</v>
      </c>
      <c r="F37" s="815"/>
      <c r="G37" s="816">
        <v>2000</v>
      </c>
      <c r="H37" s="816"/>
      <c r="I37" s="816">
        <v>20</v>
      </c>
      <c r="J37" s="816"/>
      <c r="K37" s="816">
        <v>6</v>
      </c>
      <c r="L37" s="816"/>
      <c r="M37" s="819">
        <v>12</v>
      </c>
    </row>
    <row r="38" spans="1:14" s="820" customFormat="1">
      <c r="A38" s="795" t="s">
        <v>885</v>
      </c>
      <c r="B38" s="811"/>
      <c r="C38" s="813" t="s">
        <v>882</v>
      </c>
      <c r="D38" s="813"/>
      <c r="E38" s="814">
        <v>29.99</v>
      </c>
      <c r="F38" s="815"/>
      <c r="G38" s="816">
        <v>2000</v>
      </c>
      <c r="H38" s="816"/>
      <c r="I38" s="816">
        <v>20</v>
      </c>
      <c r="J38" s="816"/>
      <c r="K38" s="816">
        <v>6</v>
      </c>
      <c r="L38" s="816"/>
      <c r="M38" s="819">
        <v>12</v>
      </c>
      <c r="N38" s="757"/>
    </row>
    <row r="39" spans="1:14">
      <c r="A39" s="795" t="s">
        <v>886</v>
      </c>
      <c r="B39" s="811"/>
      <c r="C39" s="813" t="s">
        <v>882</v>
      </c>
      <c r="D39" s="813"/>
      <c r="E39" s="814">
        <v>19.989999999999998</v>
      </c>
      <c r="F39" s="815"/>
      <c r="G39" s="816">
        <v>2000</v>
      </c>
      <c r="H39" s="816"/>
      <c r="I39" s="816">
        <v>40</v>
      </c>
      <c r="J39" s="816"/>
      <c r="K39" s="816">
        <v>1</v>
      </c>
      <c r="L39" s="816"/>
      <c r="M39" s="819">
        <v>30</v>
      </c>
      <c r="N39" s="551"/>
    </row>
    <row r="40" spans="1:14" ht="16" thickBot="1">
      <c r="A40" s="822" t="s">
        <v>887</v>
      </c>
      <c r="B40" s="823"/>
      <c r="C40" s="824" t="s">
        <v>882</v>
      </c>
      <c r="D40" s="824"/>
      <c r="E40" s="825">
        <v>499.99</v>
      </c>
      <c r="F40" s="826"/>
      <c r="G40" s="827">
        <v>0</v>
      </c>
      <c r="H40" s="827"/>
      <c r="I40" s="827">
        <v>100</v>
      </c>
      <c r="J40" s="827"/>
      <c r="K40" s="827">
        <v>0</v>
      </c>
      <c r="L40" s="827"/>
      <c r="M40" s="828">
        <v>200</v>
      </c>
      <c r="N40" s="551"/>
    </row>
    <row r="41" spans="1:14" ht="16" thickBot="1">
      <c r="B41" s="757"/>
      <c r="C41" s="551"/>
      <c r="D41" s="551"/>
      <c r="E41" s="551"/>
      <c r="G41" s="792"/>
      <c r="H41" s="746"/>
      <c r="I41" s="746"/>
      <c r="L41" s="792"/>
      <c r="M41" s="746"/>
      <c r="N41" s="551"/>
    </row>
    <row r="42" spans="1:14" ht="16" thickBot="1">
      <c r="A42" s="1161" t="s">
        <v>241</v>
      </c>
      <c r="B42" s="1162"/>
      <c r="C42" s="1162"/>
      <c r="D42" s="1162"/>
      <c r="E42" s="1162"/>
      <c r="F42" s="1162"/>
      <c r="G42" s="1162"/>
      <c r="H42" s="1162"/>
      <c r="I42" s="1162"/>
      <c r="J42" s="1162"/>
      <c r="K42" s="1162"/>
      <c r="L42" s="1162"/>
      <c r="M42" s="1163"/>
    </row>
    <row r="43" spans="1:14">
      <c r="A43" s="829"/>
      <c r="B43" s="830"/>
      <c r="C43" s="831"/>
      <c r="D43" s="830"/>
      <c r="E43" s="831"/>
      <c r="F43" s="832"/>
      <c r="G43" s="833"/>
      <c r="H43" s="834"/>
      <c r="I43" s="833"/>
      <c r="J43" s="834"/>
      <c r="K43" s="834"/>
      <c r="L43" s="833"/>
      <c r="M43" s="835"/>
    </row>
    <row r="44" spans="1:14">
      <c r="A44" s="829" t="s">
        <v>874</v>
      </c>
      <c r="B44" s="830"/>
      <c r="C44" s="831" t="s">
        <v>889</v>
      </c>
      <c r="D44" s="830"/>
      <c r="E44" s="831"/>
      <c r="F44" s="832"/>
      <c r="G44" s="833"/>
      <c r="H44" s="834"/>
      <c r="I44" s="833"/>
      <c r="J44" s="834"/>
      <c r="K44" s="834"/>
      <c r="L44" s="833"/>
      <c r="M44" s="835"/>
    </row>
    <row r="45" spans="1:14">
      <c r="A45" s="829" t="s">
        <v>876</v>
      </c>
      <c r="B45" s="830"/>
      <c r="C45" s="836">
        <v>46478</v>
      </c>
      <c r="D45" s="830"/>
      <c r="E45" s="837"/>
      <c r="F45" s="832"/>
      <c r="G45" s="833"/>
      <c r="H45" s="834"/>
      <c r="I45" s="833"/>
      <c r="J45" s="838"/>
      <c r="K45" s="834"/>
      <c r="L45" s="833"/>
      <c r="M45" s="835"/>
    </row>
    <row r="46" spans="1:14" ht="16" thickBot="1">
      <c r="A46" s="829"/>
      <c r="B46" s="830"/>
      <c r="C46" s="831"/>
      <c r="D46" s="830"/>
      <c r="E46" s="831"/>
      <c r="F46" s="832"/>
      <c r="G46" s="833"/>
      <c r="H46" s="834"/>
      <c r="I46" s="833"/>
      <c r="J46" s="834"/>
      <c r="K46" s="834"/>
      <c r="L46" s="833"/>
      <c r="M46" s="835"/>
    </row>
    <row r="47" spans="1:14" ht="16" thickBot="1">
      <c r="A47" s="1161" t="s">
        <v>877</v>
      </c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3"/>
      <c r="N47" s="791"/>
    </row>
    <row r="48" spans="1:14">
      <c r="A48" s="839" t="s">
        <v>878</v>
      </c>
      <c r="B48" s="840"/>
      <c r="C48" s="840" t="s">
        <v>879</v>
      </c>
      <c r="D48" s="840"/>
      <c r="E48" s="840" t="s">
        <v>880</v>
      </c>
      <c r="F48" s="841"/>
      <c r="G48" s="842" t="s">
        <v>881</v>
      </c>
      <c r="H48" s="843"/>
      <c r="I48" s="842" t="s">
        <v>515</v>
      </c>
      <c r="J48" s="843"/>
      <c r="K48" s="843" t="s">
        <v>516</v>
      </c>
      <c r="L48" s="842"/>
      <c r="M48" s="844" t="s">
        <v>517</v>
      </c>
      <c r="N48" s="794"/>
    </row>
    <row r="49" spans="1:14" ht="16">
      <c r="A49" s="829" t="s">
        <v>169</v>
      </c>
      <c r="B49" s="845"/>
      <c r="C49" s="846" t="s">
        <v>882</v>
      </c>
      <c r="D49" s="847"/>
      <c r="E49" s="848">
        <v>499.99</v>
      </c>
      <c r="F49" s="849"/>
      <c r="G49" s="850">
        <v>500</v>
      </c>
      <c r="H49" s="851"/>
      <c r="I49" s="850">
        <v>4</v>
      </c>
      <c r="J49" s="850"/>
      <c r="K49" s="850">
        <v>1</v>
      </c>
      <c r="L49" s="850"/>
      <c r="M49" s="852">
        <v>10</v>
      </c>
      <c r="N49" s="757"/>
    </row>
    <row r="50" spans="1:14">
      <c r="A50" s="829" t="s">
        <v>883</v>
      </c>
      <c r="B50" s="845"/>
      <c r="C50" s="847" t="s">
        <v>884</v>
      </c>
      <c r="D50" s="847"/>
      <c r="E50" s="848">
        <v>0</v>
      </c>
      <c r="F50" s="849"/>
      <c r="G50" s="850">
        <v>0</v>
      </c>
      <c r="H50" s="850"/>
      <c r="I50" s="850">
        <v>0</v>
      </c>
      <c r="J50" s="850"/>
      <c r="K50" s="850">
        <v>0</v>
      </c>
      <c r="L50" s="850"/>
      <c r="M50" s="853">
        <v>0</v>
      </c>
    </row>
    <row r="51" spans="1:14">
      <c r="A51" s="829" t="s">
        <v>885</v>
      </c>
      <c r="B51" s="845"/>
      <c r="C51" s="847" t="s">
        <v>890</v>
      </c>
      <c r="D51" s="847"/>
      <c r="E51" s="848">
        <v>0</v>
      </c>
      <c r="F51" s="849"/>
      <c r="G51" s="850">
        <v>0</v>
      </c>
      <c r="H51" s="850"/>
      <c r="I51" s="850">
        <v>0</v>
      </c>
      <c r="J51" s="850"/>
      <c r="K51" s="850">
        <v>0</v>
      </c>
      <c r="L51" s="850"/>
      <c r="M51" s="853">
        <v>0</v>
      </c>
      <c r="N51" s="791"/>
    </row>
    <row r="52" spans="1:14" s="619" customFormat="1">
      <c r="A52" s="829" t="s">
        <v>886</v>
      </c>
      <c r="B52" s="845"/>
      <c r="C52" s="847" t="s">
        <v>884</v>
      </c>
      <c r="D52" s="847"/>
      <c r="E52" s="848">
        <v>0</v>
      </c>
      <c r="F52" s="849"/>
      <c r="G52" s="850">
        <v>0</v>
      </c>
      <c r="H52" s="850"/>
      <c r="I52" s="850">
        <v>0</v>
      </c>
      <c r="J52" s="850"/>
      <c r="K52" s="850">
        <v>0</v>
      </c>
      <c r="L52" s="850"/>
      <c r="M52" s="853">
        <v>0</v>
      </c>
      <c r="N52" s="757"/>
    </row>
    <row r="53" spans="1:14" s="619" customFormat="1" ht="16" thickBot="1">
      <c r="A53" s="854" t="s">
        <v>891</v>
      </c>
      <c r="B53" s="855"/>
      <c r="C53" s="856" t="s">
        <v>884</v>
      </c>
      <c r="D53" s="856"/>
      <c r="E53" s="857">
        <v>0</v>
      </c>
      <c r="F53" s="858"/>
      <c r="G53" s="859">
        <v>0</v>
      </c>
      <c r="H53" s="859"/>
      <c r="I53" s="859">
        <v>0</v>
      </c>
      <c r="J53" s="859"/>
      <c r="K53" s="859">
        <v>0</v>
      </c>
      <c r="L53" s="859"/>
      <c r="M53" s="860">
        <v>0</v>
      </c>
      <c r="N53" s="757"/>
    </row>
    <row r="54" spans="1:14" s="619" customFormat="1" ht="16" thickBot="1">
      <c r="A54" s="556"/>
      <c r="B54" s="791"/>
      <c r="C54" s="556"/>
      <c r="D54" s="791"/>
      <c r="E54" s="558"/>
      <c r="F54" s="745"/>
      <c r="G54" s="793"/>
      <c r="H54" s="747"/>
      <c r="I54" s="793"/>
      <c r="J54" s="747"/>
      <c r="K54" s="747"/>
      <c r="L54" s="793"/>
      <c r="M54" s="747"/>
      <c r="N54" s="757"/>
    </row>
    <row r="55" spans="1:14" s="619" customFormat="1" ht="16" thickBot="1">
      <c r="A55" s="1148" t="s">
        <v>551</v>
      </c>
      <c r="B55" s="1149"/>
      <c r="C55" s="1149"/>
      <c r="D55" s="1149"/>
      <c r="E55" s="1149"/>
      <c r="F55" s="1149"/>
      <c r="G55" s="1149"/>
      <c r="H55" s="1149"/>
      <c r="I55" s="1149"/>
      <c r="J55" s="1149"/>
      <c r="K55" s="1149"/>
      <c r="L55" s="1149"/>
      <c r="M55" s="1150"/>
      <c r="N55" s="556"/>
    </row>
    <row r="56" spans="1:14" s="619" customFormat="1">
      <c r="A56" s="861"/>
      <c r="B56" s="862"/>
      <c r="C56" s="863"/>
      <c r="D56" s="862"/>
      <c r="E56" s="863"/>
      <c r="F56" s="864"/>
      <c r="G56" s="865"/>
      <c r="H56" s="866"/>
      <c r="I56" s="865"/>
      <c r="J56" s="866"/>
      <c r="K56" s="866"/>
      <c r="L56" s="865"/>
      <c r="M56" s="867"/>
      <c r="N56" s="757"/>
    </row>
    <row r="57" spans="1:14" s="619" customFormat="1">
      <c r="A57" s="861" t="s">
        <v>874</v>
      </c>
      <c r="B57" s="862"/>
      <c r="C57" s="863" t="s">
        <v>892</v>
      </c>
      <c r="D57" s="862"/>
      <c r="E57" s="863"/>
      <c r="F57" s="864"/>
      <c r="G57" s="865"/>
      <c r="H57" s="866"/>
      <c r="I57" s="865"/>
      <c r="J57" s="866"/>
      <c r="K57" s="866"/>
      <c r="L57" s="865"/>
      <c r="M57" s="867"/>
      <c r="N57" s="757"/>
    </row>
    <row r="58" spans="1:14" s="619" customFormat="1">
      <c r="A58" s="861" t="s">
        <v>876</v>
      </c>
      <c r="B58" s="862"/>
      <c r="C58" s="868">
        <v>46539</v>
      </c>
      <c r="D58" s="862"/>
      <c r="E58" s="869"/>
      <c r="F58" s="864"/>
      <c r="G58" s="865"/>
      <c r="H58" s="866"/>
      <c r="I58" s="865"/>
      <c r="J58" s="870"/>
      <c r="K58" s="866"/>
      <c r="L58" s="865"/>
      <c r="M58" s="867"/>
      <c r="N58" s="551"/>
    </row>
    <row r="59" spans="1:14" s="619" customFormat="1" ht="16" thickBot="1">
      <c r="A59" s="861"/>
      <c r="B59" s="862"/>
      <c r="C59" s="863"/>
      <c r="D59" s="862"/>
      <c r="E59" s="863"/>
      <c r="F59" s="864"/>
      <c r="G59" s="865"/>
      <c r="H59" s="866"/>
      <c r="I59" s="865"/>
      <c r="J59" s="866"/>
      <c r="K59" s="866"/>
      <c r="L59" s="865"/>
      <c r="M59" s="867"/>
      <c r="N59" s="551"/>
    </row>
    <row r="60" spans="1:14" s="619" customFormat="1" ht="16" thickBot="1">
      <c r="A60" s="1148" t="s">
        <v>877</v>
      </c>
      <c r="B60" s="1149"/>
      <c r="C60" s="1149"/>
      <c r="D60" s="1149"/>
      <c r="E60" s="1149"/>
      <c r="F60" s="1149"/>
      <c r="G60" s="1149"/>
      <c r="H60" s="1149"/>
      <c r="I60" s="1149"/>
      <c r="J60" s="1149"/>
      <c r="K60" s="1149"/>
      <c r="L60" s="1149"/>
      <c r="M60" s="1150"/>
      <c r="N60" s="551"/>
    </row>
    <row r="61" spans="1:14" s="619" customFormat="1">
      <c r="A61" s="871" t="s">
        <v>878</v>
      </c>
      <c r="B61" s="872"/>
      <c r="C61" s="872" t="s">
        <v>879</v>
      </c>
      <c r="D61" s="872"/>
      <c r="E61" s="872" t="s">
        <v>880</v>
      </c>
      <c r="F61" s="873"/>
      <c r="G61" s="874" t="s">
        <v>881</v>
      </c>
      <c r="H61" s="875"/>
      <c r="I61" s="874" t="s">
        <v>515</v>
      </c>
      <c r="J61" s="875"/>
      <c r="K61" s="875" t="s">
        <v>516</v>
      </c>
      <c r="L61" s="874"/>
      <c r="M61" s="876" t="s">
        <v>517</v>
      </c>
      <c r="N61" s="556"/>
    </row>
    <row r="62" spans="1:14" s="619" customFormat="1">
      <c r="A62" s="861" t="s">
        <v>169</v>
      </c>
      <c r="B62" s="877"/>
      <c r="C62" s="878" t="s">
        <v>882</v>
      </c>
      <c r="D62" s="878"/>
      <c r="E62" s="879">
        <v>129.99</v>
      </c>
      <c r="F62" s="880"/>
      <c r="G62" s="881">
        <v>3000</v>
      </c>
      <c r="H62" s="882"/>
      <c r="I62" s="881">
        <v>12</v>
      </c>
      <c r="J62" s="881"/>
      <c r="K62" s="881">
        <v>24</v>
      </c>
      <c r="L62" s="881"/>
      <c r="M62" s="883">
        <v>10</v>
      </c>
      <c r="N62" s="556"/>
    </row>
    <row r="63" spans="1:14" s="619" customFormat="1">
      <c r="A63" s="861" t="s">
        <v>883</v>
      </c>
      <c r="B63" s="877"/>
      <c r="C63" s="878" t="s">
        <v>884</v>
      </c>
      <c r="D63" s="878"/>
      <c r="E63" s="879">
        <v>0</v>
      </c>
      <c r="F63" s="880"/>
      <c r="G63" s="881">
        <v>0</v>
      </c>
      <c r="H63" s="881"/>
      <c r="I63" s="881">
        <v>0</v>
      </c>
      <c r="J63" s="881"/>
      <c r="K63" s="881">
        <v>0</v>
      </c>
      <c r="L63" s="881"/>
      <c r="M63" s="884">
        <v>0</v>
      </c>
      <c r="N63" s="556"/>
    </row>
    <row r="64" spans="1:14" s="619" customFormat="1">
      <c r="A64" s="861" t="s">
        <v>885</v>
      </c>
      <c r="B64" s="877"/>
      <c r="C64" s="878" t="s">
        <v>882</v>
      </c>
      <c r="D64" s="878"/>
      <c r="E64" s="879">
        <v>26.99</v>
      </c>
      <c r="F64" s="880"/>
      <c r="G64" s="881">
        <v>2000</v>
      </c>
      <c r="H64" s="881"/>
      <c r="I64" s="881">
        <v>20</v>
      </c>
      <c r="J64" s="881"/>
      <c r="K64" s="881">
        <v>4</v>
      </c>
      <c r="L64" s="881"/>
      <c r="M64" s="884">
        <v>10</v>
      </c>
      <c r="N64" s="885"/>
    </row>
    <row r="65" spans="1:14" s="619" customFormat="1">
      <c r="A65" s="861" t="s">
        <v>886</v>
      </c>
      <c r="B65" s="877"/>
      <c r="C65" s="878" t="s">
        <v>882</v>
      </c>
      <c r="D65" s="878"/>
      <c r="E65" s="879">
        <v>15.99</v>
      </c>
      <c r="F65" s="880"/>
      <c r="G65" s="881">
        <v>2000</v>
      </c>
      <c r="H65" s="881"/>
      <c r="I65" s="881">
        <v>40</v>
      </c>
      <c r="J65" s="881"/>
      <c r="K65" s="881">
        <v>1</v>
      </c>
      <c r="L65" s="881"/>
      <c r="M65" s="884">
        <v>30</v>
      </c>
      <c r="N65" s="791"/>
    </row>
    <row r="66" spans="1:14" ht="16" thickBot="1">
      <c r="A66" s="886" t="s">
        <v>891</v>
      </c>
      <c r="B66" s="887"/>
      <c r="C66" s="888" t="s">
        <v>882</v>
      </c>
      <c r="D66" s="888"/>
      <c r="E66" s="889">
        <v>159.99</v>
      </c>
      <c r="F66" s="890"/>
      <c r="G66" s="891">
        <v>0</v>
      </c>
      <c r="H66" s="891"/>
      <c r="I66" s="891">
        <v>500</v>
      </c>
      <c r="J66" s="891"/>
      <c r="K66" s="891">
        <v>0</v>
      </c>
      <c r="L66" s="891"/>
      <c r="M66" s="892">
        <v>300</v>
      </c>
    </row>
    <row r="67" spans="1:14" ht="16" thickBot="1"/>
    <row r="68" spans="1:14" ht="16" thickBot="1">
      <c r="A68" s="1151" t="s">
        <v>552</v>
      </c>
      <c r="B68" s="1152"/>
      <c r="C68" s="1152"/>
      <c r="D68" s="1152"/>
      <c r="E68" s="1152"/>
      <c r="F68" s="1152"/>
      <c r="G68" s="1152"/>
      <c r="H68" s="1152"/>
      <c r="I68" s="1152"/>
      <c r="J68" s="1152"/>
      <c r="K68" s="1152"/>
      <c r="L68" s="1152"/>
      <c r="M68" s="1153"/>
    </row>
    <row r="69" spans="1:14">
      <c r="A69" s="893"/>
      <c r="B69" s="894"/>
      <c r="C69" s="895"/>
      <c r="D69" s="894"/>
      <c r="E69" s="895"/>
      <c r="F69" s="896"/>
      <c r="G69" s="897"/>
      <c r="H69" s="898"/>
      <c r="I69" s="897"/>
      <c r="J69" s="898"/>
      <c r="K69" s="898"/>
      <c r="L69" s="897"/>
      <c r="M69" s="899"/>
    </row>
    <row r="70" spans="1:14">
      <c r="A70" s="893" t="s">
        <v>874</v>
      </c>
      <c r="B70" s="894"/>
      <c r="C70" s="895" t="s">
        <v>893</v>
      </c>
      <c r="D70" s="894"/>
      <c r="E70" s="895"/>
      <c r="F70" s="896"/>
      <c r="G70" s="897"/>
      <c r="H70" s="898"/>
      <c r="I70" s="897"/>
      <c r="J70" s="898"/>
      <c r="K70" s="898"/>
      <c r="L70" s="897"/>
      <c r="M70" s="899"/>
    </row>
    <row r="71" spans="1:14">
      <c r="A71" s="893" t="s">
        <v>876</v>
      </c>
      <c r="B71" s="894"/>
      <c r="C71" s="900">
        <v>46631</v>
      </c>
      <c r="D71" s="894"/>
      <c r="E71" s="901"/>
      <c r="F71" s="896"/>
      <c r="G71" s="897"/>
      <c r="H71" s="898"/>
      <c r="I71" s="897"/>
      <c r="J71" s="902"/>
      <c r="K71" s="898"/>
      <c r="L71" s="897"/>
      <c r="M71" s="899"/>
    </row>
    <row r="72" spans="1:14" ht="16" thickBot="1">
      <c r="A72" s="893"/>
      <c r="B72" s="894"/>
      <c r="C72" s="895"/>
      <c r="D72" s="894"/>
      <c r="E72" s="895"/>
      <c r="F72" s="896"/>
      <c r="G72" s="897"/>
      <c r="H72" s="898"/>
      <c r="I72" s="897"/>
      <c r="J72" s="898"/>
      <c r="K72" s="898"/>
      <c r="L72" s="897"/>
      <c r="M72" s="899"/>
    </row>
    <row r="73" spans="1:14" ht="16" thickBot="1">
      <c r="A73" s="1151" t="s">
        <v>877</v>
      </c>
      <c r="B73" s="1152"/>
      <c r="C73" s="1152"/>
      <c r="D73" s="1152"/>
      <c r="E73" s="1152"/>
      <c r="F73" s="1152"/>
      <c r="G73" s="1152"/>
      <c r="H73" s="1152"/>
      <c r="I73" s="1152"/>
      <c r="J73" s="1152"/>
      <c r="K73" s="1152"/>
      <c r="L73" s="1152"/>
      <c r="M73" s="1153"/>
    </row>
    <row r="74" spans="1:14">
      <c r="A74" s="903" t="s">
        <v>878</v>
      </c>
      <c r="B74" s="904"/>
      <c r="C74" s="904" t="s">
        <v>879</v>
      </c>
      <c r="D74" s="904"/>
      <c r="E74" s="904" t="s">
        <v>880</v>
      </c>
      <c r="F74" s="905"/>
      <c r="G74" s="906" t="s">
        <v>881</v>
      </c>
      <c r="H74" s="907"/>
      <c r="I74" s="906" t="s">
        <v>515</v>
      </c>
      <c r="J74" s="907"/>
      <c r="K74" s="907" t="s">
        <v>516</v>
      </c>
      <c r="L74" s="906"/>
      <c r="M74" s="908" t="s">
        <v>517</v>
      </c>
    </row>
    <row r="75" spans="1:14">
      <c r="A75" s="893" t="s">
        <v>169</v>
      </c>
      <c r="B75" s="909"/>
      <c r="C75" s="910" t="s">
        <v>882</v>
      </c>
      <c r="D75" s="910"/>
      <c r="E75" s="911">
        <v>249.99</v>
      </c>
      <c r="F75" s="912"/>
      <c r="G75" s="913">
        <v>5500</v>
      </c>
      <c r="H75" s="914"/>
      <c r="I75" s="913">
        <v>12</v>
      </c>
      <c r="J75" s="913"/>
      <c r="K75" s="913">
        <v>12</v>
      </c>
      <c r="L75" s="913"/>
      <c r="M75" s="915">
        <v>12</v>
      </c>
    </row>
    <row r="76" spans="1:14">
      <c r="A76" s="893" t="s">
        <v>883</v>
      </c>
      <c r="B76" s="909"/>
      <c r="C76" s="910" t="s">
        <v>882</v>
      </c>
      <c r="D76" s="910"/>
      <c r="E76" s="911">
        <v>54.99</v>
      </c>
      <c r="F76" s="912"/>
      <c r="G76" s="913">
        <v>2500</v>
      </c>
      <c r="H76" s="913"/>
      <c r="I76" s="913">
        <v>20</v>
      </c>
      <c r="J76" s="913"/>
      <c r="K76" s="913">
        <v>6</v>
      </c>
      <c r="L76" s="913"/>
      <c r="M76" s="916">
        <v>12</v>
      </c>
    </row>
    <row r="77" spans="1:14">
      <c r="A77" s="893" t="s">
        <v>885</v>
      </c>
      <c r="B77" s="909"/>
      <c r="C77" s="910" t="s">
        <v>882</v>
      </c>
      <c r="D77" s="910"/>
      <c r="E77" s="911">
        <v>32.99</v>
      </c>
      <c r="F77" s="912"/>
      <c r="G77" s="913">
        <v>2500</v>
      </c>
      <c r="H77" s="913"/>
      <c r="I77" s="913">
        <v>20</v>
      </c>
      <c r="J77" s="913"/>
      <c r="K77" s="913">
        <v>4</v>
      </c>
      <c r="L77" s="913"/>
      <c r="M77" s="916">
        <v>8</v>
      </c>
    </row>
    <row r="78" spans="1:14">
      <c r="A78" s="893" t="s">
        <v>886</v>
      </c>
      <c r="B78" s="909"/>
      <c r="C78" s="910" t="s">
        <v>882</v>
      </c>
      <c r="D78" s="910"/>
      <c r="E78" s="911">
        <v>21.99</v>
      </c>
      <c r="F78" s="912"/>
      <c r="G78" s="913">
        <v>2500</v>
      </c>
      <c r="H78" s="913"/>
      <c r="I78" s="913">
        <v>40</v>
      </c>
      <c r="J78" s="913"/>
      <c r="K78" s="913">
        <v>1</v>
      </c>
      <c r="L78" s="913"/>
      <c r="M78" s="916">
        <v>30</v>
      </c>
    </row>
    <row r="79" spans="1:14" ht="16" thickBot="1">
      <c r="A79" s="917" t="s">
        <v>891</v>
      </c>
      <c r="B79" s="918"/>
      <c r="C79" s="919" t="s">
        <v>882</v>
      </c>
      <c r="D79" s="919"/>
      <c r="E79" s="920">
        <v>499.99</v>
      </c>
      <c r="F79" s="921"/>
      <c r="G79" s="922">
        <v>0</v>
      </c>
      <c r="H79" s="922"/>
      <c r="I79" s="922">
        <v>100</v>
      </c>
      <c r="J79" s="922"/>
      <c r="K79" s="922">
        <v>0</v>
      </c>
      <c r="L79" s="922"/>
      <c r="M79" s="923">
        <v>200</v>
      </c>
    </row>
    <row r="80" spans="1:14" ht="16" thickBot="1"/>
    <row r="81" spans="1:13" ht="16" thickBot="1">
      <c r="A81" s="1145" t="s">
        <v>553</v>
      </c>
      <c r="B81" s="1146"/>
      <c r="C81" s="1146"/>
      <c r="D81" s="1146"/>
      <c r="E81" s="1146"/>
      <c r="F81" s="1146"/>
      <c r="G81" s="1146"/>
      <c r="H81" s="1146"/>
      <c r="I81" s="1146"/>
      <c r="J81" s="1146"/>
      <c r="K81" s="1146"/>
      <c r="L81" s="1146"/>
      <c r="M81" s="1147"/>
    </row>
    <row r="82" spans="1:13">
      <c r="A82" s="924"/>
      <c r="B82" s="925"/>
      <c r="C82" s="926"/>
      <c r="D82" s="925"/>
      <c r="E82" s="926"/>
      <c r="F82" s="927"/>
      <c r="G82" s="928"/>
      <c r="H82" s="929"/>
      <c r="I82" s="928"/>
      <c r="J82" s="929"/>
      <c r="K82" s="929"/>
      <c r="L82" s="928"/>
      <c r="M82" s="930"/>
    </row>
    <row r="83" spans="1:13">
      <c r="A83" s="924" t="s">
        <v>874</v>
      </c>
      <c r="B83" s="925"/>
      <c r="C83" s="926" t="s">
        <v>894</v>
      </c>
      <c r="D83" s="925"/>
      <c r="E83" s="926"/>
      <c r="F83" s="927"/>
      <c r="G83" s="928"/>
      <c r="H83" s="929"/>
      <c r="I83" s="928"/>
      <c r="J83" s="929"/>
      <c r="K83" s="929"/>
      <c r="L83" s="928"/>
      <c r="M83" s="930"/>
    </row>
    <row r="84" spans="1:13">
      <c r="A84" s="924" t="s">
        <v>876</v>
      </c>
      <c r="B84" s="925"/>
      <c r="C84" s="931">
        <v>46722</v>
      </c>
      <c r="D84" s="925"/>
      <c r="E84" s="932"/>
      <c r="F84" s="927"/>
      <c r="G84" s="928"/>
      <c r="H84" s="929"/>
      <c r="I84" s="928"/>
      <c r="J84" s="933"/>
      <c r="K84" s="929"/>
      <c r="L84" s="928"/>
      <c r="M84" s="930"/>
    </row>
    <row r="85" spans="1:13" ht="16" thickBot="1">
      <c r="A85" s="924"/>
      <c r="B85" s="925"/>
      <c r="C85" s="926"/>
      <c r="D85" s="925"/>
      <c r="E85" s="926"/>
      <c r="F85" s="927"/>
      <c r="G85" s="928"/>
      <c r="H85" s="929"/>
      <c r="I85" s="928"/>
      <c r="J85" s="929"/>
      <c r="K85" s="929"/>
      <c r="L85" s="928"/>
      <c r="M85" s="930"/>
    </row>
    <row r="86" spans="1:13" ht="16" thickBot="1">
      <c r="A86" s="1145" t="s">
        <v>877</v>
      </c>
      <c r="B86" s="1146"/>
      <c r="C86" s="1146"/>
      <c r="D86" s="1146"/>
      <c r="E86" s="1146"/>
      <c r="F86" s="1146"/>
      <c r="G86" s="1146"/>
      <c r="H86" s="1146"/>
      <c r="I86" s="1146"/>
      <c r="J86" s="1146"/>
      <c r="K86" s="1146"/>
      <c r="L86" s="1146"/>
      <c r="M86" s="1147"/>
    </row>
    <row r="87" spans="1:13">
      <c r="A87" s="934" t="s">
        <v>878</v>
      </c>
      <c r="B87" s="935"/>
      <c r="C87" s="935" t="s">
        <v>879</v>
      </c>
      <c r="D87" s="935"/>
      <c r="E87" s="935" t="s">
        <v>880</v>
      </c>
      <c r="F87" s="936"/>
      <c r="G87" s="937" t="s">
        <v>881</v>
      </c>
      <c r="H87" s="938"/>
      <c r="I87" s="937" t="s">
        <v>515</v>
      </c>
      <c r="J87" s="938"/>
      <c r="K87" s="938" t="s">
        <v>516</v>
      </c>
      <c r="L87" s="937"/>
      <c r="M87" s="939" t="s">
        <v>517</v>
      </c>
    </row>
    <row r="88" spans="1:13">
      <c r="A88" s="924" t="s">
        <v>169</v>
      </c>
      <c r="B88" s="940"/>
      <c r="C88" s="941" t="s">
        <v>882</v>
      </c>
      <c r="D88" s="941"/>
      <c r="E88" s="942">
        <v>499.99</v>
      </c>
      <c r="F88" s="943"/>
      <c r="G88" s="944">
        <v>500</v>
      </c>
      <c r="H88" s="945"/>
      <c r="I88" s="944">
        <v>4</v>
      </c>
      <c r="J88" s="944"/>
      <c r="K88" s="944">
        <v>1</v>
      </c>
      <c r="L88" s="944"/>
      <c r="M88" s="946">
        <v>10</v>
      </c>
    </row>
    <row r="89" spans="1:13">
      <c r="A89" s="924" t="s">
        <v>883</v>
      </c>
      <c r="B89" s="940"/>
      <c r="C89" s="941" t="s">
        <v>884</v>
      </c>
      <c r="D89" s="941"/>
      <c r="E89" s="942">
        <v>0</v>
      </c>
      <c r="F89" s="943"/>
      <c r="G89" s="944">
        <v>0</v>
      </c>
      <c r="H89" s="944"/>
      <c r="I89" s="944">
        <v>0</v>
      </c>
      <c r="J89" s="944"/>
      <c r="K89" s="944">
        <v>0</v>
      </c>
      <c r="L89" s="944"/>
      <c r="M89" s="947">
        <v>0</v>
      </c>
    </row>
    <row r="90" spans="1:13">
      <c r="A90" s="924" t="s">
        <v>885</v>
      </c>
      <c r="B90" s="940"/>
      <c r="C90" s="941" t="s">
        <v>884</v>
      </c>
      <c r="D90" s="941"/>
      <c r="E90" s="942">
        <v>0</v>
      </c>
      <c r="F90" s="943"/>
      <c r="G90" s="944">
        <v>0</v>
      </c>
      <c r="H90" s="944"/>
      <c r="I90" s="944">
        <v>0</v>
      </c>
      <c r="J90" s="944"/>
      <c r="K90" s="944">
        <v>0</v>
      </c>
      <c r="L90" s="944"/>
      <c r="M90" s="947">
        <v>0</v>
      </c>
    </row>
    <row r="91" spans="1:13">
      <c r="A91" s="924" t="s">
        <v>886</v>
      </c>
      <c r="B91" s="940"/>
      <c r="C91" s="941" t="s">
        <v>884</v>
      </c>
      <c r="D91" s="941"/>
      <c r="E91" s="942">
        <v>0</v>
      </c>
      <c r="F91" s="943"/>
      <c r="G91" s="944">
        <v>0</v>
      </c>
      <c r="H91" s="944"/>
      <c r="I91" s="944">
        <v>0</v>
      </c>
      <c r="J91" s="944"/>
      <c r="K91" s="944">
        <v>0</v>
      </c>
      <c r="L91" s="944"/>
      <c r="M91" s="947">
        <v>0</v>
      </c>
    </row>
    <row r="92" spans="1:13" ht="16" thickBot="1">
      <c r="A92" s="948" t="s">
        <v>891</v>
      </c>
      <c r="B92" s="949"/>
      <c r="C92" s="950" t="s">
        <v>884</v>
      </c>
      <c r="D92" s="950"/>
      <c r="E92" s="951">
        <v>0</v>
      </c>
      <c r="F92" s="952"/>
      <c r="G92" s="953">
        <v>0</v>
      </c>
      <c r="H92" s="953"/>
      <c r="I92" s="953">
        <v>0</v>
      </c>
      <c r="J92" s="953"/>
      <c r="K92" s="953">
        <v>0</v>
      </c>
      <c r="L92" s="953"/>
      <c r="M92" s="954">
        <v>0</v>
      </c>
    </row>
    <row r="93" spans="1:13" ht="16" thickBot="1"/>
    <row r="94" spans="1:13" ht="16" thickBot="1">
      <c r="A94" s="1148" t="s">
        <v>554</v>
      </c>
      <c r="B94" s="1149"/>
      <c r="C94" s="1149"/>
      <c r="D94" s="1149"/>
      <c r="E94" s="1149"/>
      <c r="F94" s="1149"/>
      <c r="G94" s="1149"/>
      <c r="H94" s="1149"/>
      <c r="I94" s="1149"/>
      <c r="J94" s="1149"/>
      <c r="K94" s="1149"/>
      <c r="L94" s="1149"/>
      <c r="M94" s="1150"/>
    </row>
    <row r="95" spans="1:13">
      <c r="A95" s="861"/>
      <c r="B95" s="862"/>
      <c r="C95" s="863"/>
      <c r="D95" s="862"/>
      <c r="E95" s="863"/>
      <c r="F95" s="864"/>
      <c r="G95" s="865"/>
      <c r="H95" s="866"/>
      <c r="I95" s="865"/>
      <c r="J95" s="866"/>
      <c r="K95" s="866"/>
      <c r="L95" s="865"/>
      <c r="M95" s="867"/>
    </row>
    <row r="96" spans="1:13">
      <c r="A96" s="861" t="s">
        <v>874</v>
      </c>
      <c r="B96" s="862"/>
      <c r="C96" s="863" t="s">
        <v>1006</v>
      </c>
      <c r="D96" s="862"/>
      <c r="E96" s="863"/>
      <c r="F96" s="864"/>
      <c r="G96" s="865"/>
      <c r="H96" s="866"/>
      <c r="I96" s="865"/>
      <c r="J96" s="866"/>
      <c r="K96" s="866"/>
      <c r="L96" s="865"/>
      <c r="M96" s="867"/>
    </row>
    <row r="97" spans="1:13">
      <c r="A97" s="861" t="s">
        <v>876</v>
      </c>
      <c r="B97" s="862"/>
      <c r="C97" s="868">
        <v>46905</v>
      </c>
      <c r="D97" s="862"/>
      <c r="E97" s="869"/>
      <c r="F97" s="864"/>
      <c r="G97" s="865"/>
      <c r="H97" s="866"/>
      <c r="I97" s="865"/>
      <c r="J97" s="870"/>
      <c r="K97" s="866"/>
      <c r="L97" s="865"/>
      <c r="M97" s="867"/>
    </row>
    <row r="98" spans="1:13" ht="16" thickBot="1">
      <c r="A98" s="861"/>
      <c r="B98" s="862"/>
      <c r="C98" s="863"/>
      <c r="D98" s="862"/>
      <c r="E98" s="863"/>
      <c r="F98" s="864"/>
      <c r="G98" s="865"/>
      <c r="H98" s="866"/>
      <c r="I98" s="865"/>
      <c r="J98" s="866"/>
      <c r="K98" s="866"/>
      <c r="L98" s="865"/>
      <c r="M98" s="867"/>
    </row>
    <row r="99" spans="1:13" ht="16" thickBot="1">
      <c r="A99" s="1148" t="s">
        <v>877</v>
      </c>
      <c r="B99" s="1149"/>
      <c r="C99" s="1149"/>
      <c r="D99" s="1149"/>
      <c r="E99" s="1149"/>
      <c r="F99" s="1149"/>
      <c r="G99" s="1149"/>
      <c r="H99" s="1149"/>
      <c r="I99" s="1149"/>
      <c r="J99" s="1149"/>
      <c r="K99" s="1149"/>
      <c r="L99" s="1149"/>
      <c r="M99" s="1150"/>
    </row>
    <row r="100" spans="1:13">
      <c r="A100" s="871" t="s">
        <v>878</v>
      </c>
      <c r="B100" s="872"/>
      <c r="C100" s="872" t="s">
        <v>879</v>
      </c>
      <c r="D100" s="872"/>
      <c r="E100" s="872" t="s">
        <v>880</v>
      </c>
      <c r="F100" s="873"/>
      <c r="G100" s="874" t="s">
        <v>881</v>
      </c>
      <c r="H100" s="875"/>
      <c r="I100" s="874" t="s">
        <v>515</v>
      </c>
      <c r="J100" s="875"/>
      <c r="K100" s="875" t="s">
        <v>516</v>
      </c>
      <c r="L100" s="874"/>
      <c r="M100" s="876" t="s">
        <v>517</v>
      </c>
    </row>
    <row r="101" spans="1:13">
      <c r="A101" s="861" t="s">
        <v>169</v>
      </c>
      <c r="B101" s="877"/>
      <c r="C101" s="878" t="s">
        <v>882</v>
      </c>
      <c r="D101" s="878"/>
      <c r="E101" s="879">
        <v>139.99</v>
      </c>
      <c r="F101" s="880"/>
      <c r="G101" s="881">
        <v>4000</v>
      </c>
      <c r="H101" s="882"/>
      <c r="I101" s="881">
        <v>12</v>
      </c>
      <c r="J101" s="881"/>
      <c r="K101" s="881">
        <v>24</v>
      </c>
      <c r="L101" s="881"/>
      <c r="M101" s="883">
        <v>10</v>
      </c>
    </row>
    <row r="102" spans="1:13">
      <c r="A102" s="861" t="s">
        <v>883</v>
      </c>
      <c r="B102" s="877"/>
      <c r="C102" s="878" t="s">
        <v>884</v>
      </c>
      <c r="D102" s="878"/>
      <c r="E102" s="879">
        <v>0</v>
      </c>
      <c r="F102" s="880"/>
      <c r="G102" s="881">
        <v>0</v>
      </c>
      <c r="H102" s="881"/>
      <c r="I102" s="881">
        <v>0</v>
      </c>
      <c r="J102" s="881"/>
      <c r="K102" s="881">
        <v>0</v>
      </c>
      <c r="L102" s="881"/>
      <c r="M102" s="884">
        <v>0</v>
      </c>
    </row>
    <row r="103" spans="1:13">
      <c r="A103" s="861" t="s">
        <v>885</v>
      </c>
      <c r="B103" s="877"/>
      <c r="C103" s="878" t="s">
        <v>882</v>
      </c>
      <c r="D103" s="878"/>
      <c r="E103" s="879">
        <v>28.99</v>
      </c>
      <c r="F103" s="880"/>
      <c r="G103" s="881">
        <v>3000</v>
      </c>
      <c r="H103" s="881"/>
      <c r="I103" s="881">
        <v>20</v>
      </c>
      <c r="J103" s="881"/>
      <c r="K103" s="881">
        <v>4</v>
      </c>
      <c r="L103" s="881"/>
      <c r="M103" s="884">
        <v>10</v>
      </c>
    </row>
    <row r="104" spans="1:13">
      <c r="A104" s="861" t="s">
        <v>886</v>
      </c>
      <c r="B104" s="877"/>
      <c r="C104" s="878" t="s">
        <v>882</v>
      </c>
      <c r="D104" s="878"/>
      <c r="E104" s="879">
        <v>16.989999999999998</v>
      </c>
      <c r="F104" s="880"/>
      <c r="G104" s="881">
        <v>3000</v>
      </c>
      <c r="H104" s="881"/>
      <c r="I104" s="881">
        <v>40</v>
      </c>
      <c r="J104" s="881"/>
      <c r="K104" s="881">
        <v>1</v>
      </c>
      <c r="L104" s="881"/>
      <c r="M104" s="884">
        <v>30</v>
      </c>
    </row>
    <row r="105" spans="1:13" ht="16" thickBot="1">
      <c r="A105" s="886" t="s">
        <v>891</v>
      </c>
      <c r="B105" s="887"/>
      <c r="C105" s="888" t="s">
        <v>882</v>
      </c>
      <c r="D105" s="888"/>
      <c r="E105" s="889">
        <v>164.99</v>
      </c>
      <c r="F105" s="890"/>
      <c r="G105" s="891">
        <v>0</v>
      </c>
      <c r="H105" s="891"/>
      <c r="I105" s="891">
        <v>500</v>
      </c>
      <c r="J105" s="891"/>
      <c r="K105" s="891">
        <v>0</v>
      </c>
      <c r="L105" s="891"/>
      <c r="M105" s="892">
        <v>300</v>
      </c>
    </row>
    <row r="106" spans="1:13" ht="16" thickBot="1"/>
    <row r="107" spans="1:13" ht="16" thickBot="1">
      <c r="A107" s="1151" t="s">
        <v>555</v>
      </c>
      <c r="B107" s="1152"/>
      <c r="C107" s="1152"/>
      <c r="D107" s="1152"/>
      <c r="E107" s="1152"/>
      <c r="F107" s="1152"/>
      <c r="G107" s="1152"/>
      <c r="H107" s="1152"/>
      <c r="I107" s="1152"/>
      <c r="J107" s="1152"/>
      <c r="K107" s="1152"/>
      <c r="L107" s="1152"/>
      <c r="M107" s="1153"/>
    </row>
    <row r="108" spans="1:13">
      <c r="A108" s="893"/>
      <c r="B108" s="894"/>
      <c r="C108" s="895"/>
      <c r="D108" s="894"/>
      <c r="E108" s="895"/>
      <c r="F108" s="896"/>
      <c r="G108" s="897"/>
      <c r="H108" s="898"/>
      <c r="I108" s="897"/>
      <c r="J108" s="898"/>
      <c r="K108" s="898"/>
      <c r="L108" s="897"/>
      <c r="M108" s="899"/>
    </row>
    <row r="109" spans="1:13">
      <c r="A109" s="893" t="s">
        <v>874</v>
      </c>
      <c r="B109" s="894"/>
      <c r="C109" s="895" t="s">
        <v>1007</v>
      </c>
      <c r="D109" s="894"/>
      <c r="E109" s="895"/>
      <c r="F109" s="896"/>
      <c r="G109" s="897"/>
      <c r="H109" s="898"/>
      <c r="I109" s="897"/>
      <c r="J109" s="898"/>
      <c r="K109" s="898"/>
      <c r="L109" s="897"/>
      <c r="M109" s="899"/>
    </row>
    <row r="110" spans="1:13">
      <c r="A110" s="893" t="s">
        <v>876</v>
      </c>
      <c r="B110" s="894"/>
      <c r="C110" s="900">
        <v>46997</v>
      </c>
      <c r="D110" s="894"/>
      <c r="E110" s="901"/>
      <c r="F110" s="896"/>
      <c r="G110" s="897"/>
      <c r="H110" s="898"/>
      <c r="I110" s="897"/>
      <c r="J110" s="902"/>
      <c r="K110" s="898"/>
      <c r="L110" s="897"/>
      <c r="M110" s="899"/>
    </row>
    <row r="111" spans="1:13" ht="16" thickBot="1">
      <c r="A111" s="893"/>
      <c r="B111" s="894"/>
      <c r="C111" s="895"/>
      <c r="D111" s="894"/>
      <c r="E111" s="895"/>
      <c r="F111" s="896"/>
      <c r="G111" s="897"/>
      <c r="H111" s="898"/>
      <c r="I111" s="897"/>
      <c r="J111" s="898"/>
      <c r="K111" s="898"/>
      <c r="L111" s="897"/>
      <c r="M111" s="899"/>
    </row>
    <row r="112" spans="1:13" ht="16" thickBot="1">
      <c r="A112" s="1151" t="s">
        <v>877</v>
      </c>
      <c r="B112" s="1152"/>
      <c r="C112" s="1152"/>
      <c r="D112" s="1152"/>
      <c r="E112" s="1152"/>
      <c r="F112" s="1152"/>
      <c r="G112" s="1152"/>
      <c r="H112" s="1152"/>
      <c r="I112" s="1152"/>
      <c r="J112" s="1152"/>
      <c r="K112" s="1152"/>
      <c r="L112" s="1152"/>
      <c r="M112" s="1153"/>
    </row>
    <row r="113" spans="1:13">
      <c r="A113" s="903" t="s">
        <v>878</v>
      </c>
      <c r="B113" s="904"/>
      <c r="C113" s="904" t="s">
        <v>879</v>
      </c>
      <c r="D113" s="904"/>
      <c r="E113" s="904" t="s">
        <v>880</v>
      </c>
      <c r="F113" s="905"/>
      <c r="G113" s="906" t="s">
        <v>881</v>
      </c>
      <c r="H113" s="907"/>
      <c r="I113" s="906" t="s">
        <v>515</v>
      </c>
      <c r="J113" s="907"/>
      <c r="K113" s="907" t="s">
        <v>516</v>
      </c>
      <c r="L113" s="906"/>
      <c r="M113" s="908" t="s">
        <v>517</v>
      </c>
    </row>
    <row r="114" spans="1:13">
      <c r="A114" s="893" t="s">
        <v>169</v>
      </c>
      <c r="B114" s="909"/>
      <c r="C114" s="910" t="s">
        <v>882</v>
      </c>
      <c r="D114" s="910"/>
      <c r="E114" s="911">
        <v>249.99</v>
      </c>
      <c r="F114" s="912"/>
      <c r="G114" s="913">
        <v>7000</v>
      </c>
      <c r="H114" s="914"/>
      <c r="I114" s="913">
        <v>12</v>
      </c>
      <c r="J114" s="913"/>
      <c r="K114" s="913">
        <v>12</v>
      </c>
      <c r="L114" s="913"/>
      <c r="M114" s="915">
        <v>12</v>
      </c>
    </row>
    <row r="115" spans="1:13">
      <c r="A115" s="893" t="s">
        <v>883</v>
      </c>
      <c r="B115" s="909"/>
      <c r="C115" s="910" t="s">
        <v>882</v>
      </c>
      <c r="D115" s="910"/>
      <c r="E115" s="911">
        <v>59.99</v>
      </c>
      <c r="F115" s="912"/>
      <c r="G115" s="913">
        <v>4000</v>
      </c>
      <c r="H115" s="913"/>
      <c r="I115" s="913">
        <v>20</v>
      </c>
      <c r="J115" s="913"/>
      <c r="K115" s="913">
        <v>6</v>
      </c>
      <c r="L115" s="913"/>
      <c r="M115" s="916">
        <v>12</v>
      </c>
    </row>
    <row r="116" spans="1:13">
      <c r="A116" s="893" t="s">
        <v>885</v>
      </c>
      <c r="B116" s="909"/>
      <c r="C116" s="910" t="s">
        <v>882</v>
      </c>
      <c r="D116" s="910"/>
      <c r="E116" s="911">
        <v>34.99</v>
      </c>
      <c r="F116" s="912"/>
      <c r="G116" s="913">
        <v>4000</v>
      </c>
      <c r="H116" s="913"/>
      <c r="I116" s="913">
        <v>20</v>
      </c>
      <c r="J116" s="913"/>
      <c r="K116" s="913">
        <v>4</v>
      </c>
      <c r="L116" s="913"/>
      <c r="M116" s="916">
        <v>8</v>
      </c>
    </row>
    <row r="117" spans="1:13">
      <c r="A117" s="893" t="s">
        <v>886</v>
      </c>
      <c r="B117" s="909"/>
      <c r="C117" s="910" t="s">
        <v>882</v>
      </c>
      <c r="D117" s="910"/>
      <c r="E117" s="911">
        <v>23.99</v>
      </c>
      <c r="F117" s="912"/>
      <c r="G117" s="913">
        <v>4000</v>
      </c>
      <c r="H117" s="913"/>
      <c r="I117" s="913">
        <v>40</v>
      </c>
      <c r="J117" s="913"/>
      <c r="K117" s="913">
        <v>1</v>
      </c>
      <c r="L117" s="913"/>
      <c r="M117" s="916">
        <v>30</v>
      </c>
    </row>
    <row r="118" spans="1:13" ht="16" thickBot="1">
      <c r="A118" s="917" t="s">
        <v>891</v>
      </c>
      <c r="B118" s="918"/>
      <c r="C118" s="919" t="s">
        <v>882</v>
      </c>
      <c r="D118" s="919"/>
      <c r="E118" s="920">
        <v>499.99</v>
      </c>
      <c r="F118" s="921"/>
      <c r="G118" s="922">
        <v>0</v>
      </c>
      <c r="H118" s="922"/>
      <c r="I118" s="922">
        <v>100</v>
      </c>
      <c r="J118" s="922"/>
      <c r="K118" s="922">
        <v>0</v>
      </c>
      <c r="L118" s="922"/>
      <c r="M118" s="923">
        <v>200</v>
      </c>
    </row>
    <row r="119" spans="1:13" ht="16" thickBot="1"/>
    <row r="120" spans="1:13" ht="16" thickBot="1">
      <c r="A120" s="1145" t="s">
        <v>556</v>
      </c>
      <c r="B120" s="1146"/>
      <c r="C120" s="1146"/>
      <c r="D120" s="1146"/>
      <c r="E120" s="1146"/>
      <c r="F120" s="1146"/>
      <c r="G120" s="1146"/>
      <c r="H120" s="1146"/>
      <c r="I120" s="1146"/>
      <c r="J120" s="1146"/>
      <c r="K120" s="1146"/>
      <c r="L120" s="1146"/>
      <c r="M120" s="1147"/>
    </row>
    <row r="121" spans="1:13">
      <c r="A121" s="924"/>
      <c r="B121" s="925"/>
      <c r="C121" s="926"/>
      <c r="D121" s="925"/>
      <c r="E121" s="926"/>
      <c r="F121" s="927"/>
      <c r="G121" s="928"/>
      <c r="H121" s="929"/>
      <c r="I121" s="928"/>
      <c r="J121" s="929"/>
      <c r="K121" s="929"/>
      <c r="L121" s="928"/>
      <c r="M121" s="930"/>
    </row>
    <row r="122" spans="1:13">
      <c r="A122" s="924" t="s">
        <v>874</v>
      </c>
      <c r="B122" s="925"/>
      <c r="C122" s="926" t="s">
        <v>1008</v>
      </c>
      <c r="D122" s="925"/>
      <c r="E122" s="926"/>
      <c r="F122" s="927"/>
      <c r="G122" s="928"/>
      <c r="H122" s="929"/>
      <c r="I122" s="928"/>
      <c r="J122" s="929"/>
      <c r="K122" s="929"/>
      <c r="L122" s="928"/>
      <c r="M122" s="930"/>
    </row>
    <row r="123" spans="1:13">
      <c r="A123" s="924" t="s">
        <v>876</v>
      </c>
      <c r="B123" s="925"/>
      <c r="C123" s="931">
        <v>47088</v>
      </c>
      <c r="D123" s="925"/>
      <c r="E123" s="932"/>
      <c r="F123" s="927"/>
      <c r="G123" s="928"/>
      <c r="H123" s="929"/>
      <c r="I123" s="928"/>
      <c r="J123" s="933"/>
      <c r="K123" s="929"/>
      <c r="L123" s="928"/>
      <c r="M123" s="930"/>
    </row>
    <row r="124" spans="1:13" ht="16" thickBot="1">
      <c r="A124" s="924"/>
      <c r="B124" s="925"/>
      <c r="C124" s="926"/>
      <c r="D124" s="925"/>
      <c r="E124" s="926"/>
      <c r="F124" s="927"/>
      <c r="G124" s="928"/>
      <c r="H124" s="929"/>
      <c r="I124" s="928"/>
      <c r="J124" s="929"/>
      <c r="K124" s="929"/>
      <c r="L124" s="928"/>
      <c r="M124" s="930"/>
    </row>
    <row r="125" spans="1:13" ht="16" thickBot="1">
      <c r="A125" s="1145" t="s">
        <v>877</v>
      </c>
      <c r="B125" s="1146"/>
      <c r="C125" s="1146"/>
      <c r="D125" s="1146"/>
      <c r="E125" s="1146"/>
      <c r="F125" s="1146"/>
      <c r="G125" s="1146"/>
      <c r="H125" s="1146"/>
      <c r="I125" s="1146"/>
      <c r="J125" s="1146"/>
      <c r="K125" s="1146"/>
      <c r="L125" s="1146"/>
      <c r="M125" s="1147"/>
    </row>
    <row r="126" spans="1:13">
      <c r="A126" s="934" t="s">
        <v>878</v>
      </c>
      <c r="B126" s="935"/>
      <c r="C126" s="935" t="s">
        <v>879</v>
      </c>
      <c r="D126" s="935"/>
      <c r="E126" s="935" t="s">
        <v>880</v>
      </c>
      <c r="F126" s="936"/>
      <c r="G126" s="937" t="s">
        <v>881</v>
      </c>
      <c r="H126" s="938"/>
      <c r="I126" s="937" t="s">
        <v>515</v>
      </c>
      <c r="J126" s="938"/>
      <c r="K126" s="938" t="s">
        <v>516</v>
      </c>
      <c r="L126" s="937"/>
      <c r="M126" s="939" t="s">
        <v>517</v>
      </c>
    </row>
    <row r="127" spans="1:13">
      <c r="A127" s="924" t="s">
        <v>169</v>
      </c>
      <c r="B127" s="940"/>
      <c r="C127" s="941" t="s">
        <v>882</v>
      </c>
      <c r="D127" s="941"/>
      <c r="E127" s="942">
        <v>499.99</v>
      </c>
      <c r="F127" s="943"/>
      <c r="G127" s="944">
        <v>700</v>
      </c>
      <c r="H127" s="945"/>
      <c r="I127" s="944">
        <v>4</v>
      </c>
      <c r="J127" s="944"/>
      <c r="K127" s="944">
        <v>1</v>
      </c>
      <c r="L127" s="944"/>
      <c r="M127" s="946">
        <v>10</v>
      </c>
    </row>
    <row r="128" spans="1:13">
      <c r="A128" s="924" t="s">
        <v>883</v>
      </c>
      <c r="B128" s="940"/>
      <c r="C128" s="941" t="s">
        <v>884</v>
      </c>
      <c r="D128" s="941"/>
      <c r="E128" s="942">
        <v>0</v>
      </c>
      <c r="F128" s="943"/>
      <c r="G128" s="944">
        <v>0</v>
      </c>
      <c r="H128" s="944"/>
      <c r="I128" s="944">
        <v>0</v>
      </c>
      <c r="J128" s="944"/>
      <c r="K128" s="944">
        <v>0</v>
      </c>
      <c r="L128" s="944"/>
      <c r="M128" s="947">
        <v>0</v>
      </c>
    </row>
    <row r="129" spans="1:13">
      <c r="A129" s="924" t="s">
        <v>885</v>
      </c>
      <c r="B129" s="940"/>
      <c r="C129" s="941" t="s">
        <v>884</v>
      </c>
      <c r="D129" s="941"/>
      <c r="E129" s="942">
        <v>0</v>
      </c>
      <c r="F129" s="943"/>
      <c r="G129" s="944">
        <v>0</v>
      </c>
      <c r="H129" s="944"/>
      <c r="I129" s="944">
        <v>0</v>
      </c>
      <c r="J129" s="944"/>
      <c r="K129" s="944">
        <v>0</v>
      </c>
      <c r="L129" s="944"/>
      <c r="M129" s="947">
        <v>0</v>
      </c>
    </row>
    <row r="130" spans="1:13">
      <c r="A130" s="924" t="s">
        <v>886</v>
      </c>
      <c r="B130" s="940"/>
      <c r="C130" s="941" t="s">
        <v>884</v>
      </c>
      <c r="D130" s="941"/>
      <c r="E130" s="942">
        <v>0</v>
      </c>
      <c r="F130" s="943"/>
      <c r="G130" s="944">
        <v>0</v>
      </c>
      <c r="H130" s="944"/>
      <c r="I130" s="944">
        <v>0</v>
      </c>
      <c r="J130" s="944"/>
      <c r="K130" s="944">
        <v>0</v>
      </c>
      <c r="L130" s="944"/>
      <c r="M130" s="947">
        <v>0</v>
      </c>
    </row>
    <row r="131" spans="1:13" ht="16" thickBot="1">
      <c r="A131" s="948" t="s">
        <v>891</v>
      </c>
      <c r="B131" s="949"/>
      <c r="C131" s="950" t="s">
        <v>884</v>
      </c>
      <c r="D131" s="950"/>
      <c r="E131" s="951">
        <v>0</v>
      </c>
      <c r="F131" s="952"/>
      <c r="G131" s="953">
        <v>0</v>
      </c>
      <c r="H131" s="953"/>
      <c r="I131" s="953">
        <v>0</v>
      </c>
      <c r="J131" s="953"/>
      <c r="K131" s="953">
        <v>0</v>
      </c>
      <c r="L131" s="953"/>
      <c r="M131" s="954">
        <v>0</v>
      </c>
    </row>
    <row r="132" spans="1:13" ht="16" thickBot="1"/>
    <row r="133" spans="1:13" ht="16" thickBot="1">
      <c r="A133" s="1148" t="s">
        <v>557</v>
      </c>
      <c r="B133" s="1149"/>
      <c r="C133" s="1149"/>
      <c r="D133" s="1149"/>
      <c r="E133" s="1149"/>
      <c r="F133" s="1149"/>
      <c r="G133" s="1149"/>
      <c r="H133" s="1149"/>
      <c r="I133" s="1149"/>
      <c r="J133" s="1149"/>
      <c r="K133" s="1149"/>
      <c r="L133" s="1149"/>
      <c r="M133" s="1150"/>
    </row>
    <row r="134" spans="1:13">
      <c r="A134" s="861"/>
      <c r="B134" s="862"/>
      <c r="C134" s="863"/>
      <c r="D134" s="862"/>
      <c r="E134" s="863"/>
      <c r="F134" s="864"/>
      <c r="G134" s="865"/>
      <c r="H134" s="866"/>
      <c r="I134" s="865"/>
      <c r="J134" s="866"/>
      <c r="K134" s="866"/>
      <c r="L134" s="865"/>
      <c r="M134" s="867"/>
    </row>
    <row r="135" spans="1:13">
      <c r="A135" s="861" t="s">
        <v>874</v>
      </c>
      <c r="B135" s="862"/>
      <c r="C135" s="863" t="s">
        <v>1010</v>
      </c>
      <c r="D135" s="862"/>
      <c r="E135" s="863"/>
      <c r="F135" s="864"/>
      <c r="G135" s="865"/>
      <c r="H135" s="866"/>
      <c r="I135" s="865"/>
      <c r="J135" s="866"/>
      <c r="K135" s="866"/>
      <c r="L135" s="865"/>
      <c r="M135" s="867"/>
    </row>
    <row r="136" spans="1:13">
      <c r="A136" s="861" t="s">
        <v>876</v>
      </c>
      <c r="B136" s="862"/>
      <c r="C136" s="868">
        <v>47270</v>
      </c>
      <c r="D136" s="862"/>
      <c r="E136" s="869"/>
      <c r="F136" s="864"/>
      <c r="G136" s="865"/>
      <c r="H136" s="866"/>
      <c r="I136" s="865"/>
      <c r="J136" s="870"/>
      <c r="K136" s="866"/>
      <c r="L136" s="865"/>
      <c r="M136" s="867"/>
    </row>
    <row r="137" spans="1:13" ht="16" thickBot="1">
      <c r="A137" s="861"/>
      <c r="B137" s="862"/>
      <c r="C137" s="863"/>
      <c r="D137" s="862"/>
      <c r="E137" s="863"/>
      <c r="F137" s="864"/>
      <c r="G137" s="865"/>
      <c r="H137" s="866"/>
      <c r="I137" s="865"/>
      <c r="J137" s="866"/>
      <c r="K137" s="866"/>
      <c r="L137" s="865"/>
      <c r="M137" s="867"/>
    </row>
    <row r="138" spans="1:13" ht="16" thickBot="1">
      <c r="A138" s="1148" t="s">
        <v>877</v>
      </c>
      <c r="B138" s="1149"/>
      <c r="C138" s="1149"/>
      <c r="D138" s="1149"/>
      <c r="E138" s="1149"/>
      <c r="F138" s="1149"/>
      <c r="G138" s="1149"/>
      <c r="H138" s="1149"/>
      <c r="I138" s="1149"/>
      <c r="J138" s="1149"/>
      <c r="K138" s="1149"/>
      <c r="L138" s="1149"/>
      <c r="M138" s="1150"/>
    </row>
    <row r="139" spans="1:13">
      <c r="A139" s="871" t="s">
        <v>878</v>
      </c>
      <c r="B139" s="872"/>
      <c r="C139" s="872" t="s">
        <v>879</v>
      </c>
      <c r="D139" s="872"/>
      <c r="E139" s="872" t="s">
        <v>880</v>
      </c>
      <c r="F139" s="873"/>
      <c r="G139" s="874" t="s">
        <v>881</v>
      </c>
      <c r="H139" s="875"/>
      <c r="I139" s="874" t="s">
        <v>515</v>
      </c>
      <c r="J139" s="875"/>
      <c r="K139" s="875" t="s">
        <v>516</v>
      </c>
      <c r="L139" s="874"/>
      <c r="M139" s="876" t="s">
        <v>517</v>
      </c>
    </row>
    <row r="140" spans="1:13">
      <c r="A140" s="861" t="s">
        <v>169</v>
      </c>
      <c r="B140" s="877"/>
      <c r="C140" s="878" t="s">
        <v>882</v>
      </c>
      <c r="D140" s="878"/>
      <c r="E140" s="879">
        <v>139.99</v>
      </c>
      <c r="F140" s="880"/>
      <c r="G140" s="881">
        <v>5000</v>
      </c>
      <c r="H140" s="882"/>
      <c r="I140" s="881">
        <v>12</v>
      </c>
      <c r="J140" s="881"/>
      <c r="K140" s="881">
        <v>24</v>
      </c>
      <c r="L140" s="881"/>
      <c r="M140" s="883">
        <v>10</v>
      </c>
    </row>
    <row r="141" spans="1:13">
      <c r="A141" s="861" t="s">
        <v>883</v>
      </c>
      <c r="B141" s="877"/>
      <c r="C141" s="878" t="s">
        <v>884</v>
      </c>
      <c r="D141" s="878"/>
      <c r="E141" s="879">
        <v>0</v>
      </c>
      <c r="F141" s="880"/>
      <c r="G141" s="881">
        <v>0</v>
      </c>
      <c r="H141" s="881"/>
      <c r="I141" s="881">
        <v>0</v>
      </c>
      <c r="J141" s="881"/>
      <c r="K141" s="881">
        <v>0</v>
      </c>
      <c r="L141" s="881"/>
      <c r="M141" s="884">
        <v>0</v>
      </c>
    </row>
    <row r="142" spans="1:13">
      <c r="A142" s="861" t="s">
        <v>885</v>
      </c>
      <c r="B142" s="877"/>
      <c r="C142" s="878" t="s">
        <v>882</v>
      </c>
      <c r="D142" s="878"/>
      <c r="E142" s="879">
        <v>28.99</v>
      </c>
      <c r="F142" s="880"/>
      <c r="G142" s="881">
        <v>3500</v>
      </c>
      <c r="H142" s="881"/>
      <c r="I142" s="881">
        <v>20</v>
      </c>
      <c r="J142" s="881"/>
      <c r="K142" s="881">
        <v>4</v>
      </c>
      <c r="L142" s="881"/>
      <c r="M142" s="884">
        <v>10</v>
      </c>
    </row>
    <row r="143" spans="1:13">
      <c r="A143" s="861" t="s">
        <v>886</v>
      </c>
      <c r="B143" s="877"/>
      <c r="C143" s="878" t="s">
        <v>882</v>
      </c>
      <c r="D143" s="878"/>
      <c r="E143" s="879">
        <v>16.989999999999998</v>
      </c>
      <c r="F143" s="880"/>
      <c r="G143" s="881">
        <v>3500</v>
      </c>
      <c r="H143" s="881"/>
      <c r="I143" s="881">
        <v>40</v>
      </c>
      <c r="J143" s="881"/>
      <c r="K143" s="881">
        <v>1</v>
      </c>
      <c r="L143" s="881"/>
      <c r="M143" s="884">
        <v>30</v>
      </c>
    </row>
    <row r="144" spans="1:13" ht="16" thickBot="1">
      <c r="A144" s="886" t="s">
        <v>891</v>
      </c>
      <c r="B144" s="887"/>
      <c r="C144" s="888" t="s">
        <v>882</v>
      </c>
      <c r="D144" s="888"/>
      <c r="E144" s="889">
        <v>164.99</v>
      </c>
      <c r="F144" s="890"/>
      <c r="G144" s="891">
        <v>0</v>
      </c>
      <c r="H144" s="891"/>
      <c r="I144" s="891">
        <v>500</v>
      </c>
      <c r="J144" s="891"/>
      <c r="K144" s="891">
        <v>0</v>
      </c>
      <c r="L144" s="891"/>
      <c r="M144" s="892">
        <v>300</v>
      </c>
    </row>
    <row r="145" spans="1:13" ht="16" thickBot="1"/>
    <row r="146" spans="1:13" ht="16" thickBot="1">
      <c r="A146" s="1151" t="s">
        <v>567</v>
      </c>
      <c r="B146" s="1152"/>
      <c r="C146" s="1152"/>
      <c r="D146" s="1152"/>
      <c r="E146" s="1152"/>
      <c r="F146" s="1152"/>
      <c r="G146" s="1152"/>
      <c r="H146" s="1152"/>
      <c r="I146" s="1152"/>
      <c r="J146" s="1152"/>
      <c r="K146" s="1152"/>
      <c r="L146" s="1152"/>
      <c r="M146" s="1153"/>
    </row>
    <row r="147" spans="1:13">
      <c r="A147" s="893"/>
      <c r="B147" s="894"/>
      <c r="C147" s="895"/>
      <c r="D147" s="894"/>
      <c r="E147" s="895"/>
      <c r="F147" s="896"/>
      <c r="G147" s="897"/>
      <c r="H147" s="898"/>
      <c r="I147" s="897"/>
      <c r="J147" s="898"/>
      <c r="K147" s="898"/>
      <c r="L147" s="897"/>
      <c r="M147" s="899"/>
    </row>
    <row r="148" spans="1:13">
      <c r="A148" s="893" t="s">
        <v>874</v>
      </c>
      <c r="B148" s="894"/>
      <c r="C148" s="895" t="s">
        <v>1011</v>
      </c>
      <c r="D148" s="894"/>
      <c r="E148" s="895"/>
      <c r="F148" s="896"/>
      <c r="G148" s="897"/>
      <c r="H148" s="898"/>
      <c r="I148" s="897"/>
      <c r="J148" s="898"/>
      <c r="K148" s="898"/>
      <c r="L148" s="897"/>
      <c r="M148" s="899"/>
    </row>
    <row r="149" spans="1:13">
      <c r="A149" s="893" t="s">
        <v>876</v>
      </c>
      <c r="B149" s="894"/>
      <c r="C149" s="900">
        <v>47362</v>
      </c>
      <c r="D149" s="894"/>
      <c r="E149" s="901"/>
      <c r="F149" s="896"/>
      <c r="G149" s="897"/>
      <c r="H149" s="898"/>
      <c r="I149" s="897"/>
      <c r="J149" s="902"/>
      <c r="K149" s="898"/>
      <c r="L149" s="897"/>
      <c r="M149" s="899"/>
    </row>
    <row r="150" spans="1:13" ht="16" thickBot="1">
      <c r="A150" s="893"/>
      <c r="B150" s="894"/>
      <c r="C150" s="895"/>
      <c r="D150" s="894"/>
      <c r="E150" s="895"/>
      <c r="F150" s="896"/>
      <c r="G150" s="897"/>
      <c r="H150" s="898"/>
      <c r="I150" s="897"/>
      <c r="J150" s="898"/>
      <c r="K150" s="898"/>
      <c r="L150" s="897"/>
      <c r="M150" s="899"/>
    </row>
    <row r="151" spans="1:13" ht="16" thickBot="1">
      <c r="A151" s="1151" t="s">
        <v>877</v>
      </c>
      <c r="B151" s="1152"/>
      <c r="C151" s="1152"/>
      <c r="D151" s="1152"/>
      <c r="E151" s="1152"/>
      <c r="F151" s="1152"/>
      <c r="G151" s="1152"/>
      <c r="H151" s="1152"/>
      <c r="I151" s="1152"/>
      <c r="J151" s="1152"/>
      <c r="K151" s="1152"/>
      <c r="L151" s="1152"/>
      <c r="M151" s="1153"/>
    </row>
    <row r="152" spans="1:13">
      <c r="A152" s="903" t="s">
        <v>878</v>
      </c>
      <c r="B152" s="904"/>
      <c r="C152" s="904" t="s">
        <v>879</v>
      </c>
      <c r="D152" s="904"/>
      <c r="E152" s="904" t="s">
        <v>880</v>
      </c>
      <c r="F152" s="905"/>
      <c r="G152" s="906" t="s">
        <v>881</v>
      </c>
      <c r="H152" s="907"/>
      <c r="I152" s="906" t="s">
        <v>515</v>
      </c>
      <c r="J152" s="907"/>
      <c r="K152" s="907" t="s">
        <v>516</v>
      </c>
      <c r="L152" s="906"/>
      <c r="M152" s="908" t="s">
        <v>517</v>
      </c>
    </row>
    <row r="153" spans="1:13">
      <c r="A153" s="893" t="s">
        <v>169</v>
      </c>
      <c r="B153" s="909"/>
      <c r="C153" s="910" t="s">
        <v>882</v>
      </c>
      <c r="D153" s="910"/>
      <c r="E153" s="911">
        <v>249.99</v>
      </c>
      <c r="F153" s="912"/>
      <c r="G153" s="913">
        <v>8000</v>
      </c>
      <c r="H153" s="914"/>
      <c r="I153" s="913">
        <v>12</v>
      </c>
      <c r="J153" s="913"/>
      <c r="K153" s="913">
        <v>12</v>
      </c>
      <c r="L153" s="913"/>
      <c r="M153" s="915">
        <v>12</v>
      </c>
    </row>
    <row r="154" spans="1:13">
      <c r="A154" s="893" t="s">
        <v>883</v>
      </c>
      <c r="B154" s="909"/>
      <c r="C154" s="910" t="s">
        <v>882</v>
      </c>
      <c r="D154" s="910"/>
      <c r="E154" s="911">
        <v>59.99</v>
      </c>
      <c r="F154" s="912"/>
      <c r="G154" s="913">
        <v>5000</v>
      </c>
      <c r="H154" s="913"/>
      <c r="I154" s="913">
        <v>20</v>
      </c>
      <c r="J154" s="913"/>
      <c r="K154" s="913">
        <v>6</v>
      </c>
      <c r="L154" s="913"/>
      <c r="M154" s="916">
        <v>12</v>
      </c>
    </row>
    <row r="155" spans="1:13">
      <c r="A155" s="893" t="s">
        <v>885</v>
      </c>
      <c r="B155" s="909"/>
      <c r="C155" s="910" t="s">
        <v>882</v>
      </c>
      <c r="D155" s="910"/>
      <c r="E155" s="911">
        <v>34.99</v>
      </c>
      <c r="F155" s="912"/>
      <c r="G155" s="913">
        <v>5000</v>
      </c>
      <c r="H155" s="913"/>
      <c r="I155" s="913">
        <v>20</v>
      </c>
      <c r="J155" s="913"/>
      <c r="K155" s="913">
        <v>4</v>
      </c>
      <c r="L155" s="913"/>
      <c r="M155" s="916">
        <v>8</v>
      </c>
    </row>
    <row r="156" spans="1:13">
      <c r="A156" s="893" t="s">
        <v>886</v>
      </c>
      <c r="B156" s="909"/>
      <c r="C156" s="910" t="s">
        <v>882</v>
      </c>
      <c r="D156" s="910"/>
      <c r="E156" s="911">
        <v>23.99</v>
      </c>
      <c r="F156" s="912"/>
      <c r="G156" s="913">
        <v>5000</v>
      </c>
      <c r="H156" s="913"/>
      <c r="I156" s="913">
        <v>40</v>
      </c>
      <c r="J156" s="913"/>
      <c r="K156" s="913">
        <v>1</v>
      </c>
      <c r="L156" s="913"/>
      <c r="M156" s="916">
        <v>30</v>
      </c>
    </row>
    <row r="157" spans="1:13" ht="16" thickBot="1">
      <c r="A157" s="917" t="s">
        <v>891</v>
      </c>
      <c r="B157" s="918"/>
      <c r="C157" s="919" t="s">
        <v>882</v>
      </c>
      <c r="D157" s="919"/>
      <c r="E157" s="920">
        <v>499.99</v>
      </c>
      <c r="F157" s="921"/>
      <c r="G157" s="922">
        <v>0</v>
      </c>
      <c r="H157" s="922"/>
      <c r="I157" s="922">
        <v>100</v>
      </c>
      <c r="J157" s="922"/>
      <c r="K157" s="922">
        <v>0</v>
      </c>
      <c r="L157" s="922"/>
      <c r="M157" s="923">
        <v>200</v>
      </c>
    </row>
    <row r="158" spans="1:13" ht="16" thickBot="1"/>
    <row r="159" spans="1:13" ht="16" thickBot="1">
      <c r="A159" s="1145" t="s">
        <v>1009</v>
      </c>
      <c r="B159" s="1146"/>
      <c r="C159" s="1146"/>
      <c r="D159" s="1146"/>
      <c r="E159" s="1146"/>
      <c r="F159" s="1146"/>
      <c r="G159" s="1146"/>
      <c r="H159" s="1146"/>
      <c r="I159" s="1146"/>
      <c r="J159" s="1146"/>
      <c r="K159" s="1146"/>
      <c r="L159" s="1146"/>
      <c r="M159" s="1147"/>
    </row>
    <row r="160" spans="1:13">
      <c r="A160" s="924"/>
      <c r="B160" s="925"/>
      <c r="C160" s="926"/>
      <c r="D160" s="925"/>
      <c r="E160" s="926"/>
      <c r="F160" s="927"/>
      <c r="G160" s="928"/>
      <c r="H160" s="929"/>
      <c r="I160" s="928"/>
      <c r="J160" s="929"/>
      <c r="K160" s="929"/>
      <c r="L160" s="928"/>
      <c r="M160" s="930"/>
    </row>
    <row r="161" spans="1:13">
      <c r="A161" s="924" t="s">
        <v>874</v>
      </c>
      <c r="B161" s="925"/>
      <c r="C161" s="926" t="s">
        <v>1012</v>
      </c>
      <c r="D161" s="925"/>
      <c r="E161" s="926"/>
      <c r="F161" s="927"/>
      <c r="G161" s="928"/>
      <c r="H161" s="929"/>
      <c r="I161" s="928"/>
      <c r="J161" s="929"/>
      <c r="K161" s="929"/>
      <c r="L161" s="928"/>
      <c r="M161" s="930"/>
    </row>
    <row r="162" spans="1:13">
      <c r="A162" s="924" t="s">
        <v>876</v>
      </c>
      <c r="B162" s="925"/>
      <c r="C162" s="931">
        <v>47453</v>
      </c>
      <c r="D162" s="925"/>
      <c r="E162" s="932"/>
      <c r="F162" s="927"/>
      <c r="G162" s="928"/>
      <c r="H162" s="929"/>
      <c r="I162" s="928"/>
      <c r="J162" s="933"/>
      <c r="K162" s="929"/>
      <c r="L162" s="928"/>
      <c r="M162" s="930"/>
    </row>
    <row r="163" spans="1:13" ht="16" thickBot="1">
      <c r="A163" s="924"/>
      <c r="B163" s="925"/>
      <c r="C163" s="926"/>
      <c r="D163" s="925"/>
      <c r="E163" s="926"/>
      <c r="F163" s="927"/>
      <c r="G163" s="928"/>
      <c r="H163" s="929"/>
      <c r="I163" s="928"/>
      <c r="J163" s="929"/>
      <c r="K163" s="929"/>
      <c r="L163" s="928"/>
      <c r="M163" s="930"/>
    </row>
    <row r="164" spans="1:13" ht="16" thickBot="1">
      <c r="A164" s="1145" t="s">
        <v>877</v>
      </c>
      <c r="B164" s="1146"/>
      <c r="C164" s="1146"/>
      <c r="D164" s="1146"/>
      <c r="E164" s="1146"/>
      <c r="F164" s="1146"/>
      <c r="G164" s="1146"/>
      <c r="H164" s="1146"/>
      <c r="I164" s="1146"/>
      <c r="J164" s="1146"/>
      <c r="K164" s="1146"/>
      <c r="L164" s="1146"/>
      <c r="M164" s="1147"/>
    </row>
    <row r="165" spans="1:13">
      <c r="A165" s="934" t="s">
        <v>878</v>
      </c>
      <c r="B165" s="935"/>
      <c r="C165" s="935" t="s">
        <v>879</v>
      </c>
      <c r="D165" s="935"/>
      <c r="E165" s="935" t="s">
        <v>880</v>
      </c>
      <c r="F165" s="936"/>
      <c r="G165" s="937" t="s">
        <v>881</v>
      </c>
      <c r="H165" s="938"/>
      <c r="I165" s="937" t="s">
        <v>515</v>
      </c>
      <c r="J165" s="938"/>
      <c r="K165" s="938" t="s">
        <v>516</v>
      </c>
      <c r="L165" s="937"/>
      <c r="M165" s="939" t="s">
        <v>517</v>
      </c>
    </row>
    <row r="166" spans="1:13">
      <c r="A166" s="924" t="s">
        <v>169</v>
      </c>
      <c r="B166" s="940"/>
      <c r="C166" s="941" t="s">
        <v>882</v>
      </c>
      <c r="D166" s="941"/>
      <c r="E166" s="942">
        <v>499.99</v>
      </c>
      <c r="F166" s="943"/>
      <c r="G166" s="944">
        <v>1000</v>
      </c>
      <c r="H166" s="945"/>
      <c r="I166" s="944">
        <v>4</v>
      </c>
      <c r="J166" s="944"/>
      <c r="K166" s="944">
        <v>1</v>
      </c>
      <c r="L166" s="944"/>
      <c r="M166" s="946">
        <v>10</v>
      </c>
    </row>
    <row r="167" spans="1:13">
      <c r="A167" s="924" t="s">
        <v>883</v>
      </c>
      <c r="B167" s="940"/>
      <c r="C167" s="941" t="s">
        <v>884</v>
      </c>
      <c r="D167" s="941"/>
      <c r="E167" s="942">
        <v>0</v>
      </c>
      <c r="F167" s="943"/>
      <c r="G167" s="944">
        <v>0</v>
      </c>
      <c r="H167" s="944"/>
      <c r="I167" s="944">
        <v>0</v>
      </c>
      <c r="J167" s="944"/>
      <c r="K167" s="944">
        <v>0</v>
      </c>
      <c r="L167" s="944"/>
      <c r="M167" s="947">
        <v>0</v>
      </c>
    </row>
    <row r="168" spans="1:13">
      <c r="A168" s="924" t="s">
        <v>885</v>
      </c>
      <c r="B168" s="940"/>
      <c r="C168" s="941" t="s">
        <v>884</v>
      </c>
      <c r="D168" s="941"/>
      <c r="E168" s="942">
        <v>0</v>
      </c>
      <c r="F168" s="943"/>
      <c r="G168" s="944">
        <v>0</v>
      </c>
      <c r="H168" s="944"/>
      <c r="I168" s="944">
        <v>0</v>
      </c>
      <c r="J168" s="944"/>
      <c r="K168" s="944">
        <v>0</v>
      </c>
      <c r="L168" s="944"/>
      <c r="M168" s="947">
        <v>0</v>
      </c>
    </row>
    <row r="169" spans="1:13">
      <c r="A169" s="924" t="s">
        <v>886</v>
      </c>
      <c r="B169" s="940"/>
      <c r="C169" s="941" t="s">
        <v>884</v>
      </c>
      <c r="D169" s="941"/>
      <c r="E169" s="942">
        <v>0</v>
      </c>
      <c r="F169" s="943"/>
      <c r="G169" s="944">
        <v>0</v>
      </c>
      <c r="H169" s="944"/>
      <c r="I169" s="944">
        <v>0</v>
      </c>
      <c r="J169" s="944"/>
      <c r="K169" s="944">
        <v>0</v>
      </c>
      <c r="L169" s="944"/>
      <c r="M169" s="947">
        <v>0</v>
      </c>
    </row>
    <row r="170" spans="1:13" ht="16" thickBot="1">
      <c r="A170" s="948" t="s">
        <v>891</v>
      </c>
      <c r="B170" s="949"/>
      <c r="C170" s="950" t="s">
        <v>884</v>
      </c>
      <c r="D170" s="950"/>
      <c r="E170" s="951">
        <v>0</v>
      </c>
      <c r="F170" s="952"/>
      <c r="G170" s="953">
        <v>0</v>
      </c>
      <c r="H170" s="953"/>
      <c r="I170" s="953">
        <v>0</v>
      </c>
      <c r="J170" s="953"/>
      <c r="K170" s="953">
        <v>0</v>
      </c>
      <c r="L170" s="953"/>
      <c r="M170" s="954">
        <v>0</v>
      </c>
    </row>
    <row r="171" spans="1:13" ht="16" thickBot="1"/>
    <row r="172" spans="1:13" ht="16" thickBot="1">
      <c r="A172" s="1148" t="s">
        <v>1013</v>
      </c>
      <c r="B172" s="1149"/>
      <c r="C172" s="1149"/>
      <c r="D172" s="1149"/>
      <c r="E172" s="1149"/>
      <c r="F172" s="1149"/>
      <c r="G172" s="1149"/>
      <c r="H172" s="1149"/>
      <c r="I172" s="1149"/>
      <c r="J172" s="1149"/>
      <c r="K172" s="1149"/>
      <c r="L172" s="1149"/>
      <c r="M172" s="1150"/>
    </row>
    <row r="173" spans="1:13">
      <c r="A173" s="861"/>
      <c r="B173" s="862"/>
      <c r="C173" s="863"/>
      <c r="D173" s="862"/>
      <c r="E173" s="863"/>
      <c r="F173" s="864"/>
      <c r="G173" s="865"/>
      <c r="H173" s="866"/>
      <c r="I173" s="865"/>
      <c r="J173" s="866"/>
      <c r="K173" s="866"/>
      <c r="L173" s="865"/>
      <c r="M173" s="867"/>
    </row>
    <row r="174" spans="1:13">
      <c r="A174" s="861" t="s">
        <v>874</v>
      </c>
      <c r="B174" s="862"/>
      <c r="C174" s="863" t="s">
        <v>1016</v>
      </c>
      <c r="D174" s="862"/>
      <c r="E174" s="863"/>
      <c r="F174" s="864"/>
      <c r="G174" s="865"/>
      <c r="H174" s="866"/>
      <c r="I174" s="865"/>
      <c r="J174" s="866"/>
      <c r="K174" s="866"/>
      <c r="L174" s="865"/>
      <c r="M174" s="867"/>
    </row>
    <row r="175" spans="1:13">
      <c r="A175" s="861" t="s">
        <v>876</v>
      </c>
      <c r="B175" s="862"/>
      <c r="C175" s="868">
        <v>47635</v>
      </c>
      <c r="D175" s="862"/>
      <c r="E175" s="869"/>
      <c r="F175" s="864"/>
      <c r="G175" s="865"/>
      <c r="H175" s="866"/>
      <c r="I175" s="865"/>
      <c r="J175" s="870"/>
      <c r="K175" s="866"/>
      <c r="L175" s="865"/>
      <c r="M175" s="867"/>
    </row>
    <row r="176" spans="1:13" ht="16" thickBot="1">
      <c r="A176" s="861"/>
      <c r="B176" s="862"/>
      <c r="C176" s="863"/>
      <c r="D176" s="862"/>
      <c r="E176" s="863"/>
      <c r="F176" s="864"/>
      <c r="G176" s="865"/>
      <c r="H176" s="866"/>
      <c r="I176" s="865"/>
      <c r="J176" s="866"/>
      <c r="K176" s="866"/>
      <c r="L176" s="865"/>
      <c r="M176" s="867"/>
    </row>
    <row r="177" spans="1:13" ht="16" thickBot="1">
      <c r="A177" s="1148" t="s">
        <v>877</v>
      </c>
      <c r="B177" s="1149"/>
      <c r="C177" s="1149"/>
      <c r="D177" s="1149"/>
      <c r="E177" s="1149"/>
      <c r="F177" s="1149"/>
      <c r="G177" s="1149"/>
      <c r="H177" s="1149"/>
      <c r="I177" s="1149"/>
      <c r="J177" s="1149"/>
      <c r="K177" s="1149"/>
      <c r="L177" s="1149"/>
      <c r="M177" s="1150"/>
    </row>
    <row r="178" spans="1:13">
      <c r="A178" s="871" t="s">
        <v>878</v>
      </c>
      <c r="B178" s="872"/>
      <c r="C178" s="872" t="s">
        <v>879</v>
      </c>
      <c r="D178" s="872"/>
      <c r="E178" s="872" t="s">
        <v>880</v>
      </c>
      <c r="F178" s="873"/>
      <c r="G178" s="874" t="s">
        <v>881</v>
      </c>
      <c r="H178" s="875"/>
      <c r="I178" s="874" t="s">
        <v>515</v>
      </c>
      <c r="J178" s="875"/>
      <c r="K178" s="875" t="s">
        <v>516</v>
      </c>
      <c r="L178" s="874"/>
      <c r="M178" s="876" t="s">
        <v>517</v>
      </c>
    </row>
    <row r="179" spans="1:13">
      <c r="A179" s="861" t="s">
        <v>169</v>
      </c>
      <c r="B179" s="877"/>
      <c r="C179" s="878" t="s">
        <v>882</v>
      </c>
      <c r="D179" s="878"/>
      <c r="E179" s="879">
        <v>139.99</v>
      </c>
      <c r="F179" s="880"/>
      <c r="G179" s="881">
        <v>6000</v>
      </c>
      <c r="H179" s="882"/>
      <c r="I179" s="881">
        <v>12</v>
      </c>
      <c r="J179" s="881"/>
      <c r="K179" s="881">
        <v>24</v>
      </c>
      <c r="L179" s="881"/>
      <c r="M179" s="883">
        <v>10</v>
      </c>
    </row>
    <row r="180" spans="1:13">
      <c r="A180" s="861" t="s">
        <v>883</v>
      </c>
      <c r="B180" s="877"/>
      <c r="C180" s="878" t="s">
        <v>884</v>
      </c>
      <c r="D180" s="878"/>
      <c r="E180" s="879">
        <v>0</v>
      </c>
      <c r="F180" s="880"/>
      <c r="G180" s="881">
        <v>0</v>
      </c>
      <c r="H180" s="881"/>
      <c r="I180" s="881">
        <v>0</v>
      </c>
      <c r="J180" s="881"/>
      <c r="K180" s="881">
        <v>0</v>
      </c>
      <c r="L180" s="881"/>
      <c r="M180" s="884">
        <v>0</v>
      </c>
    </row>
    <row r="181" spans="1:13">
      <c r="A181" s="861" t="s">
        <v>885</v>
      </c>
      <c r="B181" s="877"/>
      <c r="C181" s="878" t="s">
        <v>882</v>
      </c>
      <c r="D181" s="878"/>
      <c r="E181" s="879">
        <v>28.99</v>
      </c>
      <c r="F181" s="880"/>
      <c r="G181" s="881">
        <v>4000</v>
      </c>
      <c r="H181" s="881"/>
      <c r="I181" s="881">
        <v>20</v>
      </c>
      <c r="J181" s="881"/>
      <c r="K181" s="881">
        <v>4</v>
      </c>
      <c r="L181" s="881"/>
      <c r="M181" s="884">
        <v>10</v>
      </c>
    </row>
    <row r="182" spans="1:13">
      <c r="A182" s="861" t="s">
        <v>886</v>
      </c>
      <c r="B182" s="877"/>
      <c r="C182" s="878" t="s">
        <v>882</v>
      </c>
      <c r="D182" s="878"/>
      <c r="E182" s="879">
        <v>16.989999999999998</v>
      </c>
      <c r="F182" s="880"/>
      <c r="G182" s="881">
        <v>4000</v>
      </c>
      <c r="H182" s="881"/>
      <c r="I182" s="881">
        <v>40</v>
      </c>
      <c r="J182" s="881"/>
      <c r="K182" s="881">
        <v>1</v>
      </c>
      <c r="L182" s="881"/>
      <c r="M182" s="884">
        <v>30</v>
      </c>
    </row>
    <row r="183" spans="1:13" ht="16" thickBot="1">
      <c r="A183" s="886" t="s">
        <v>891</v>
      </c>
      <c r="B183" s="887"/>
      <c r="C183" s="888" t="s">
        <v>882</v>
      </c>
      <c r="D183" s="888"/>
      <c r="E183" s="889">
        <v>164.99</v>
      </c>
      <c r="F183" s="890"/>
      <c r="G183" s="891">
        <v>0</v>
      </c>
      <c r="H183" s="891"/>
      <c r="I183" s="891">
        <v>500</v>
      </c>
      <c r="J183" s="891"/>
      <c r="K183" s="891">
        <v>0</v>
      </c>
      <c r="L183" s="891"/>
      <c r="M183" s="892">
        <v>300</v>
      </c>
    </row>
    <row r="184" spans="1:13" ht="16" thickBot="1"/>
    <row r="185" spans="1:13" ht="16" thickBot="1">
      <c r="A185" s="1151" t="s">
        <v>1014</v>
      </c>
      <c r="B185" s="1152"/>
      <c r="C185" s="1152"/>
      <c r="D185" s="1152"/>
      <c r="E185" s="1152"/>
      <c r="F185" s="1152"/>
      <c r="G185" s="1152"/>
      <c r="H185" s="1152"/>
      <c r="I185" s="1152"/>
      <c r="J185" s="1152"/>
      <c r="K185" s="1152"/>
      <c r="L185" s="1152"/>
      <c r="M185" s="1153"/>
    </row>
    <row r="186" spans="1:13">
      <c r="A186" s="893"/>
      <c r="B186" s="894"/>
      <c r="C186" s="895"/>
      <c r="D186" s="894"/>
      <c r="E186" s="895"/>
      <c r="F186" s="896"/>
      <c r="G186" s="897"/>
      <c r="H186" s="898"/>
      <c r="I186" s="897"/>
      <c r="J186" s="898"/>
      <c r="K186" s="898"/>
      <c r="L186" s="897"/>
      <c r="M186" s="899"/>
    </row>
    <row r="187" spans="1:13">
      <c r="A187" s="893" t="s">
        <v>874</v>
      </c>
      <c r="B187" s="894"/>
      <c r="C187" s="895" t="s">
        <v>1017</v>
      </c>
      <c r="D187" s="894"/>
      <c r="E187" s="895"/>
      <c r="F187" s="896"/>
      <c r="G187" s="897"/>
      <c r="H187" s="898"/>
      <c r="I187" s="897"/>
      <c r="J187" s="898"/>
      <c r="K187" s="898"/>
      <c r="L187" s="897"/>
      <c r="M187" s="899"/>
    </row>
    <row r="188" spans="1:13">
      <c r="A188" s="893" t="s">
        <v>876</v>
      </c>
      <c r="B188" s="894"/>
      <c r="C188" s="900">
        <v>47727</v>
      </c>
      <c r="D188" s="894"/>
      <c r="E188" s="901"/>
      <c r="F188" s="896"/>
      <c r="G188" s="897"/>
      <c r="H188" s="898"/>
      <c r="I188" s="897"/>
      <c r="J188" s="902"/>
      <c r="K188" s="898"/>
      <c r="L188" s="897"/>
      <c r="M188" s="899"/>
    </row>
    <row r="189" spans="1:13" ht="16" thickBot="1">
      <c r="A189" s="893"/>
      <c r="B189" s="894"/>
      <c r="C189" s="895"/>
      <c r="D189" s="894"/>
      <c r="E189" s="895"/>
      <c r="F189" s="896"/>
      <c r="G189" s="897"/>
      <c r="H189" s="898"/>
      <c r="I189" s="897"/>
      <c r="J189" s="898"/>
      <c r="K189" s="898"/>
      <c r="L189" s="897"/>
      <c r="M189" s="899"/>
    </row>
    <row r="190" spans="1:13" ht="16" thickBot="1">
      <c r="A190" s="1151" t="s">
        <v>877</v>
      </c>
      <c r="B190" s="1152"/>
      <c r="C190" s="1152"/>
      <c r="D190" s="1152"/>
      <c r="E190" s="1152"/>
      <c r="F190" s="1152"/>
      <c r="G190" s="1152"/>
      <c r="H190" s="1152"/>
      <c r="I190" s="1152"/>
      <c r="J190" s="1152"/>
      <c r="K190" s="1152"/>
      <c r="L190" s="1152"/>
      <c r="M190" s="1153"/>
    </row>
    <row r="191" spans="1:13">
      <c r="A191" s="903" t="s">
        <v>878</v>
      </c>
      <c r="B191" s="904"/>
      <c r="C191" s="904" t="s">
        <v>879</v>
      </c>
      <c r="D191" s="904"/>
      <c r="E191" s="904" t="s">
        <v>880</v>
      </c>
      <c r="F191" s="905"/>
      <c r="G191" s="906" t="s">
        <v>881</v>
      </c>
      <c r="H191" s="907"/>
      <c r="I191" s="906" t="s">
        <v>515</v>
      </c>
      <c r="J191" s="907"/>
      <c r="K191" s="907" t="s">
        <v>516</v>
      </c>
      <c r="L191" s="906"/>
      <c r="M191" s="908" t="s">
        <v>517</v>
      </c>
    </row>
    <row r="192" spans="1:13">
      <c r="A192" s="893" t="s">
        <v>169</v>
      </c>
      <c r="B192" s="909"/>
      <c r="C192" s="910" t="s">
        <v>882</v>
      </c>
      <c r="D192" s="910"/>
      <c r="E192" s="911">
        <v>249.99</v>
      </c>
      <c r="F192" s="912"/>
      <c r="G192" s="913">
        <v>10000</v>
      </c>
      <c r="H192" s="914"/>
      <c r="I192" s="913">
        <v>12</v>
      </c>
      <c r="J192" s="913"/>
      <c r="K192" s="913">
        <v>12</v>
      </c>
      <c r="L192" s="913"/>
      <c r="M192" s="915">
        <v>12</v>
      </c>
    </row>
    <row r="193" spans="1:13">
      <c r="A193" s="893" t="s">
        <v>883</v>
      </c>
      <c r="B193" s="909"/>
      <c r="C193" s="910" t="s">
        <v>882</v>
      </c>
      <c r="D193" s="910"/>
      <c r="E193" s="911">
        <v>59.99</v>
      </c>
      <c r="F193" s="912"/>
      <c r="G193" s="913">
        <v>6000</v>
      </c>
      <c r="H193" s="913"/>
      <c r="I193" s="913">
        <v>20</v>
      </c>
      <c r="J193" s="913"/>
      <c r="K193" s="913">
        <v>6</v>
      </c>
      <c r="L193" s="913"/>
      <c r="M193" s="916">
        <v>12</v>
      </c>
    </row>
    <row r="194" spans="1:13">
      <c r="A194" s="893" t="s">
        <v>885</v>
      </c>
      <c r="B194" s="909"/>
      <c r="C194" s="910" t="s">
        <v>882</v>
      </c>
      <c r="D194" s="910"/>
      <c r="E194" s="911">
        <v>34.99</v>
      </c>
      <c r="F194" s="912"/>
      <c r="G194" s="913">
        <v>6000</v>
      </c>
      <c r="H194" s="913"/>
      <c r="I194" s="913">
        <v>20</v>
      </c>
      <c r="J194" s="913"/>
      <c r="K194" s="913">
        <v>4</v>
      </c>
      <c r="L194" s="913"/>
      <c r="M194" s="916">
        <v>8</v>
      </c>
    </row>
    <row r="195" spans="1:13">
      <c r="A195" s="893" t="s">
        <v>886</v>
      </c>
      <c r="B195" s="909"/>
      <c r="C195" s="910" t="s">
        <v>882</v>
      </c>
      <c r="D195" s="910"/>
      <c r="E195" s="911">
        <v>23.99</v>
      </c>
      <c r="F195" s="912"/>
      <c r="G195" s="913">
        <v>6000</v>
      </c>
      <c r="H195" s="913"/>
      <c r="I195" s="913">
        <v>40</v>
      </c>
      <c r="J195" s="913"/>
      <c r="K195" s="913">
        <v>1</v>
      </c>
      <c r="L195" s="913"/>
      <c r="M195" s="916">
        <v>30</v>
      </c>
    </row>
    <row r="196" spans="1:13" ht="16" thickBot="1">
      <c r="A196" s="917" t="s">
        <v>891</v>
      </c>
      <c r="B196" s="918"/>
      <c r="C196" s="919" t="s">
        <v>882</v>
      </c>
      <c r="D196" s="919"/>
      <c r="E196" s="920">
        <v>499.99</v>
      </c>
      <c r="F196" s="921"/>
      <c r="G196" s="922">
        <v>0</v>
      </c>
      <c r="H196" s="922"/>
      <c r="I196" s="922">
        <v>100</v>
      </c>
      <c r="J196" s="922"/>
      <c r="K196" s="922">
        <v>0</v>
      </c>
      <c r="L196" s="922"/>
      <c r="M196" s="923">
        <v>200</v>
      </c>
    </row>
    <row r="197" spans="1:13" ht="16" thickBot="1"/>
    <row r="198" spans="1:13" ht="16" thickBot="1">
      <c r="A198" s="1145" t="s">
        <v>1015</v>
      </c>
      <c r="B198" s="1146"/>
      <c r="C198" s="1146"/>
      <c r="D198" s="1146"/>
      <c r="E198" s="1146"/>
      <c r="F198" s="1146"/>
      <c r="G198" s="1146"/>
      <c r="H198" s="1146"/>
      <c r="I198" s="1146"/>
      <c r="J198" s="1146"/>
      <c r="K198" s="1146"/>
      <c r="L198" s="1146"/>
      <c r="M198" s="1147"/>
    </row>
    <row r="199" spans="1:13">
      <c r="A199" s="924"/>
      <c r="B199" s="925"/>
      <c r="C199" s="926"/>
      <c r="D199" s="925"/>
      <c r="E199" s="926"/>
      <c r="F199" s="927"/>
      <c r="G199" s="928"/>
      <c r="H199" s="929"/>
      <c r="I199" s="928"/>
      <c r="J199" s="929"/>
      <c r="K199" s="929"/>
      <c r="L199" s="928"/>
      <c r="M199" s="930"/>
    </row>
    <row r="200" spans="1:13">
      <c r="A200" s="924" t="s">
        <v>874</v>
      </c>
      <c r="B200" s="925"/>
      <c r="C200" s="926" t="s">
        <v>1018</v>
      </c>
      <c r="D200" s="925"/>
      <c r="E200" s="926"/>
      <c r="F200" s="927"/>
      <c r="G200" s="928"/>
      <c r="H200" s="929"/>
      <c r="I200" s="928"/>
      <c r="J200" s="929"/>
      <c r="K200" s="929"/>
      <c r="L200" s="928"/>
      <c r="M200" s="930"/>
    </row>
    <row r="201" spans="1:13">
      <c r="A201" s="924" t="s">
        <v>876</v>
      </c>
      <c r="B201" s="925"/>
      <c r="C201" s="931">
        <v>47818</v>
      </c>
      <c r="D201" s="925"/>
      <c r="E201" s="932"/>
      <c r="F201" s="927"/>
      <c r="G201" s="928"/>
      <c r="H201" s="929"/>
      <c r="I201" s="928"/>
      <c r="J201" s="933"/>
      <c r="K201" s="929"/>
      <c r="L201" s="928"/>
      <c r="M201" s="930"/>
    </row>
    <row r="202" spans="1:13" ht="16" thickBot="1">
      <c r="A202" s="924"/>
      <c r="B202" s="925"/>
      <c r="C202" s="926"/>
      <c r="D202" s="925"/>
      <c r="E202" s="926"/>
      <c r="F202" s="927"/>
      <c r="G202" s="928"/>
      <c r="H202" s="929"/>
      <c r="I202" s="928"/>
      <c r="J202" s="929"/>
      <c r="K202" s="929"/>
      <c r="L202" s="928"/>
      <c r="M202" s="930"/>
    </row>
    <row r="203" spans="1:13" ht="16" thickBot="1">
      <c r="A203" s="1145" t="s">
        <v>877</v>
      </c>
      <c r="B203" s="1146"/>
      <c r="C203" s="1146"/>
      <c r="D203" s="1146"/>
      <c r="E203" s="1146"/>
      <c r="F203" s="1146"/>
      <c r="G203" s="1146"/>
      <c r="H203" s="1146"/>
      <c r="I203" s="1146"/>
      <c r="J203" s="1146"/>
      <c r="K203" s="1146"/>
      <c r="L203" s="1146"/>
      <c r="M203" s="1147"/>
    </row>
    <row r="204" spans="1:13">
      <c r="A204" s="934" t="s">
        <v>878</v>
      </c>
      <c r="B204" s="935"/>
      <c r="C204" s="935" t="s">
        <v>879</v>
      </c>
      <c r="D204" s="935"/>
      <c r="E204" s="935" t="s">
        <v>880</v>
      </c>
      <c r="F204" s="936"/>
      <c r="G204" s="937" t="s">
        <v>881</v>
      </c>
      <c r="H204" s="938"/>
      <c r="I204" s="937" t="s">
        <v>515</v>
      </c>
      <c r="J204" s="938"/>
      <c r="K204" s="938" t="s">
        <v>516</v>
      </c>
      <c r="L204" s="937"/>
      <c r="M204" s="939" t="s">
        <v>517</v>
      </c>
    </row>
    <row r="205" spans="1:13">
      <c r="A205" s="924" t="s">
        <v>169</v>
      </c>
      <c r="B205" s="940"/>
      <c r="C205" s="941" t="s">
        <v>882</v>
      </c>
      <c r="D205" s="941"/>
      <c r="E205" s="942">
        <v>499.99</v>
      </c>
      <c r="F205" s="943"/>
      <c r="G205" s="944">
        <v>1250</v>
      </c>
      <c r="H205" s="945"/>
      <c r="I205" s="944">
        <v>4</v>
      </c>
      <c r="J205" s="944"/>
      <c r="K205" s="944">
        <v>1</v>
      </c>
      <c r="L205" s="944"/>
      <c r="M205" s="946">
        <v>10</v>
      </c>
    </row>
    <row r="206" spans="1:13">
      <c r="A206" s="924" t="s">
        <v>883</v>
      </c>
      <c r="B206" s="940"/>
      <c r="C206" s="941" t="s">
        <v>884</v>
      </c>
      <c r="D206" s="941"/>
      <c r="E206" s="942">
        <v>0</v>
      </c>
      <c r="F206" s="943"/>
      <c r="G206" s="944">
        <v>0</v>
      </c>
      <c r="H206" s="944"/>
      <c r="I206" s="944">
        <v>0</v>
      </c>
      <c r="J206" s="944"/>
      <c r="K206" s="944">
        <v>0</v>
      </c>
      <c r="L206" s="944"/>
      <c r="M206" s="947">
        <v>0</v>
      </c>
    </row>
    <row r="207" spans="1:13">
      <c r="A207" s="924" t="s">
        <v>885</v>
      </c>
      <c r="B207" s="940"/>
      <c r="C207" s="941" t="s">
        <v>884</v>
      </c>
      <c r="D207" s="941"/>
      <c r="E207" s="942">
        <v>0</v>
      </c>
      <c r="F207" s="943"/>
      <c r="G207" s="944">
        <v>0</v>
      </c>
      <c r="H207" s="944"/>
      <c r="I207" s="944">
        <v>0</v>
      </c>
      <c r="J207" s="944"/>
      <c r="K207" s="944">
        <v>0</v>
      </c>
      <c r="L207" s="944"/>
      <c r="M207" s="947">
        <v>0</v>
      </c>
    </row>
    <row r="208" spans="1:13">
      <c r="A208" s="924" t="s">
        <v>886</v>
      </c>
      <c r="B208" s="940"/>
      <c r="C208" s="941" t="s">
        <v>884</v>
      </c>
      <c r="D208" s="941"/>
      <c r="E208" s="942">
        <v>0</v>
      </c>
      <c r="F208" s="943"/>
      <c r="G208" s="944">
        <v>0</v>
      </c>
      <c r="H208" s="944"/>
      <c r="I208" s="944">
        <v>0</v>
      </c>
      <c r="J208" s="944"/>
      <c r="K208" s="944">
        <v>0</v>
      </c>
      <c r="L208" s="944"/>
      <c r="M208" s="947">
        <v>0</v>
      </c>
    </row>
    <row r="209" spans="1:13" ht="16" thickBot="1">
      <c r="A209" s="948" t="s">
        <v>891</v>
      </c>
      <c r="B209" s="949"/>
      <c r="C209" s="950" t="s">
        <v>884</v>
      </c>
      <c r="D209" s="950"/>
      <c r="E209" s="951">
        <v>0</v>
      </c>
      <c r="F209" s="952"/>
      <c r="G209" s="953">
        <v>0</v>
      </c>
      <c r="H209" s="953"/>
      <c r="I209" s="953">
        <v>0</v>
      </c>
      <c r="J209" s="953"/>
      <c r="K209" s="953">
        <v>0</v>
      </c>
      <c r="L209" s="953"/>
      <c r="M209" s="954">
        <v>0</v>
      </c>
    </row>
  </sheetData>
  <mergeCells count="31">
    <mergeCell ref="A151:M151"/>
    <mergeCell ref="A159:M159"/>
    <mergeCell ref="A164:M164"/>
    <mergeCell ref="A203:M203"/>
    <mergeCell ref="A172:M172"/>
    <mergeCell ref="A177:M177"/>
    <mergeCell ref="A185:M185"/>
    <mergeCell ref="A190:M190"/>
    <mergeCell ref="A198:M198"/>
    <mergeCell ref="A133:M133"/>
    <mergeCell ref="A125:M125"/>
    <mergeCell ref="A120:M120"/>
    <mergeCell ref="A138:M138"/>
    <mergeCell ref="A146:M146"/>
    <mergeCell ref="A81:M81"/>
    <mergeCell ref="A1:M1"/>
    <mergeCell ref="A16:M16"/>
    <mergeCell ref="A21:M21"/>
    <mergeCell ref="A29:M29"/>
    <mergeCell ref="A34:M34"/>
    <mergeCell ref="A42:M42"/>
    <mergeCell ref="A47:M47"/>
    <mergeCell ref="A55:M55"/>
    <mergeCell ref="A60:M60"/>
    <mergeCell ref="A68:M68"/>
    <mergeCell ref="A73:M73"/>
    <mergeCell ref="A86:M86"/>
    <mergeCell ref="A94:M94"/>
    <mergeCell ref="A99:M99"/>
    <mergeCell ref="A107:M107"/>
    <mergeCell ref="A112:M112"/>
  </mergeCells>
  <pageMargins left="0.7" right="0.7" top="0.75" bottom="0.75" header="0.3" footer="0.3"/>
  <pageSetup orientation="portrait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V52"/>
  <sheetViews>
    <sheetView workbookViewId="0">
      <selection activeCell="D23" sqref="D23"/>
    </sheetView>
  </sheetViews>
  <sheetFormatPr baseColWidth="10" defaultColWidth="12.5" defaultRowHeight="15" customHeight="1"/>
  <cols>
    <col min="1" max="1" width="1.83203125" customWidth="1"/>
    <col min="2" max="2" width="12.5" customWidth="1"/>
    <col min="3" max="3" width="19.5" customWidth="1"/>
    <col min="4" max="4" width="13.5" customWidth="1"/>
    <col min="5" max="5" width="12.5" customWidth="1"/>
    <col min="6" max="6" width="1.83203125" customWidth="1"/>
    <col min="7" max="7" width="12.5" customWidth="1"/>
    <col min="8" max="8" width="21.5" customWidth="1"/>
    <col min="9" max="9" width="12.5" customWidth="1"/>
    <col min="10" max="10" width="13.5" customWidth="1"/>
    <col min="11" max="11" width="1.83203125" customWidth="1"/>
    <col min="12" max="12" width="12.5" customWidth="1"/>
    <col min="13" max="13" width="17.5" customWidth="1"/>
    <col min="14" max="14" width="10.83203125" customWidth="1"/>
    <col min="15" max="15" width="12.5" customWidth="1"/>
    <col min="16" max="16" width="1.83203125" customWidth="1"/>
    <col min="17" max="17" width="8.5" customWidth="1"/>
    <col min="18" max="18" width="18.5" customWidth="1"/>
    <col min="19" max="19" width="34.1640625" customWidth="1"/>
    <col min="20" max="20" width="11.5" customWidth="1"/>
    <col min="21" max="21" width="14.5" customWidth="1"/>
    <col min="22" max="22" width="12.6640625" bestFit="1" customWidth="1"/>
    <col min="23" max="26" width="8.5" customWidth="1"/>
    <col min="27" max="27" width="15" customWidth="1"/>
    <col min="28" max="28" width="13.5" customWidth="1"/>
  </cols>
  <sheetData>
    <row r="2" spans="2:22">
      <c r="B2" s="93" t="s">
        <v>126</v>
      </c>
      <c r="C2" s="88" t="s">
        <v>127</v>
      </c>
      <c r="D2" s="88"/>
      <c r="E2" s="87"/>
      <c r="F2" s="89"/>
      <c r="G2" s="93" t="s">
        <v>126</v>
      </c>
      <c r="H2" s="88" t="s">
        <v>127</v>
      </c>
      <c r="I2" s="87"/>
      <c r="J2" s="90"/>
      <c r="K2" s="86"/>
      <c r="L2" s="93" t="s">
        <v>126</v>
      </c>
      <c r="M2" s="88" t="s">
        <v>127</v>
      </c>
      <c r="N2" s="88"/>
      <c r="O2" s="87"/>
      <c r="P2" s="86"/>
      <c r="Q2" s="88"/>
      <c r="R2" s="94" t="s">
        <v>128</v>
      </c>
      <c r="S2" s="95">
        <v>0.65</v>
      </c>
      <c r="T2" s="88"/>
      <c r="U2" s="88" t="s">
        <v>129</v>
      </c>
      <c r="V2" s="96">
        <f>C24+C43+H24+H43+M24</f>
        <v>5278000</v>
      </c>
    </row>
    <row r="3" spans="2:22">
      <c r="B3" s="93" t="s">
        <v>130</v>
      </c>
      <c r="C3" s="88" t="s">
        <v>131</v>
      </c>
      <c r="D3" s="93" t="s">
        <v>132</v>
      </c>
      <c r="E3" s="88" t="s">
        <v>29</v>
      </c>
      <c r="F3" s="89"/>
      <c r="G3" s="93" t="s">
        <v>130</v>
      </c>
      <c r="H3" s="88" t="s">
        <v>131</v>
      </c>
      <c r="I3" s="93" t="s">
        <v>132</v>
      </c>
      <c r="J3" s="88" t="s">
        <v>29</v>
      </c>
      <c r="K3" s="86"/>
      <c r="L3" s="93" t="s">
        <v>130</v>
      </c>
      <c r="M3" s="88" t="s">
        <v>131</v>
      </c>
      <c r="N3" s="93" t="s">
        <v>132</v>
      </c>
      <c r="O3" s="88" t="s">
        <v>29</v>
      </c>
      <c r="P3" s="86"/>
      <c r="Q3" s="88"/>
      <c r="R3" s="94" t="s">
        <v>133</v>
      </c>
      <c r="S3" s="95">
        <v>0.65</v>
      </c>
      <c r="T3" s="88"/>
      <c r="U3" s="88"/>
      <c r="V3" s="88"/>
    </row>
    <row r="4" spans="2:22">
      <c r="B4" s="93" t="s">
        <v>134</v>
      </c>
      <c r="C4" s="97" t="s">
        <v>135</v>
      </c>
      <c r="D4" s="93" t="s">
        <v>136</v>
      </c>
      <c r="E4" s="88" t="s">
        <v>137</v>
      </c>
      <c r="F4" s="89"/>
      <c r="G4" s="93" t="s">
        <v>134</v>
      </c>
      <c r="H4" s="97" t="s">
        <v>138</v>
      </c>
      <c r="I4" s="93" t="s">
        <v>136</v>
      </c>
      <c r="J4" s="88" t="s">
        <v>137</v>
      </c>
      <c r="K4" s="86"/>
      <c r="L4" s="93" t="s">
        <v>134</v>
      </c>
      <c r="M4" s="97" t="s">
        <v>139</v>
      </c>
      <c r="N4" s="93" t="s">
        <v>136</v>
      </c>
      <c r="O4" s="88" t="s">
        <v>137</v>
      </c>
      <c r="P4" s="86"/>
      <c r="Q4" s="88"/>
      <c r="R4" s="94"/>
      <c r="S4" s="92"/>
      <c r="T4" s="88"/>
      <c r="U4" s="88" t="s">
        <v>140</v>
      </c>
      <c r="V4" s="98">
        <f>C15+C34+H15+H34+M15</f>
        <v>11500</v>
      </c>
    </row>
    <row r="5" spans="2:22">
      <c r="B5" s="93"/>
      <c r="C5" s="88" t="s">
        <v>141</v>
      </c>
      <c r="D5" s="93"/>
      <c r="E5" s="88"/>
      <c r="F5" s="89"/>
      <c r="G5" s="93"/>
      <c r="H5" s="97"/>
      <c r="I5" s="93"/>
      <c r="J5" s="88"/>
      <c r="K5" s="86"/>
      <c r="L5" s="93"/>
      <c r="M5" s="97"/>
      <c r="N5" s="93"/>
      <c r="O5" s="88"/>
      <c r="P5" s="86"/>
      <c r="Q5" s="88"/>
      <c r="R5" s="99" t="s">
        <v>142</v>
      </c>
      <c r="S5" s="99" t="s">
        <v>143</v>
      </c>
      <c r="T5" s="88"/>
      <c r="U5" s="88" t="s">
        <v>144</v>
      </c>
      <c r="V5" s="98">
        <f t="shared" ref="V5:V6" si="0">E17+E36+J17+J36+O17</f>
        <v>166000</v>
      </c>
    </row>
    <row r="6" spans="2:22">
      <c r="B6" s="93" t="s">
        <v>145</v>
      </c>
      <c r="C6" s="88" t="s">
        <v>146</v>
      </c>
      <c r="D6" s="93"/>
      <c r="E6" s="88"/>
      <c r="F6" s="89"/>
      <c r="G6" s="93" t="s">
        <v>145</v>
      </c>
      <c r="H6" s="88" t="s">
        <v>147</v>
      </c>
      <c r="I6" s="93"/>
      <c r="J6" s="88"/>
      <c r="K6" s="86"/>
      <c r="L6" s="93" t="s">
        <v>145</v>
      </c>
      <c r="M6" s="88" t="s">
        <v>148</v>
      </c>
      <c r="N6" s="93"/>
      <c r="O6" s="88"/>
      <c r="P6" s="86"/>
      <c r="Q6" s="88"/>
      <c r="R6" s="100"/>
      <c r="S6" s="100"/>
      <c r="T6" s="88"/>
      <c r="U6" s="88" t="s">
        <v>149</v>
      </c>
      <c r="V6" s="98">
        <f t="shared" si="0"/>
        <v>19924000</v>
      </c>
    </row>
    <row r="7" spans="2:22">
      <c r="B7" s="93" t="s">
        <v>150</v>
      </c>
      <c r="C7" s="88" t="s">
        <v>151</v>
      </c>
      <c r="D7" s="93" t="s">
        <v>152</v>
      </c>
      <c r="E7" s="88">
        <v>2025</v>
      </c>
      <c r="F7" s="89"/>
      <c r="G7" s="93" t="s">
        <v>150</v>
      </c>
      <c r="H7" s="88" t="s">
        <v>151</v>
      </c>
      <c r="I7" s="93" t="s">
        <v>152</v>
      </c>
      <c r="J7" s="88">
        <v>2025</v>
      </c>
      <c r="K7" s="86"/>
      <c r="L7" s="93" t="s">
        <v>150</v>
      </c>
      <c r="M7" s="88" t="s">
        <v>151</v>
      </c>
      <c r="N7" s="93" t="s">
        <v>152</v>
      </c>
      <c r="O7" s="88">
        <v>2025</v>
      </c>
      <c r="P7" s="86"/>
      <c r="Q7" s="88"/>
      <c r="R7" s="101" t="s">
        <v>153</v>
      </c>
      <c r="S7" s="102" t="s">
        <v>154</v>
      </c>
      <c r="T7" s="88"/>
      <c r="U7" s="88"/>
      <c r="V7" s="98"/>
    </row>
    <row r="8" spans="2:22">
      <c r="B8" s="93" t="s">
        <v>155</v>
      </c>
      <c r="C8" s="88" t="s">
        <v>29</v>
      </c>
      <c r="D8" s="93"/>
      <c r="E8" s="88"/>
      <c r="F8" s="89"/>
      <c r="G8" s="93" t="s">
        <v>155</v>
      </c>
      <c r="H8" s="88" t="s">
        <v>29</v>
      </c>
      <c r="I8" s="93"/>
      <c r="J8" s="88"/>
      <c r="K8" s="86"/>
      <c r="L8" s="93" t="s">
        <v>155</v>
      </c>
      <c r="M8" s="88" t="s">
        <v>29</v>
      </c>
      <c r="N8" s="93"/>
      <c r="O8" s="88"/>
      <c r="P8" s="86"/>
      <c r="Q8" s="88"/>
      <c r="R8" s="101"/>
      <c r="S8" s="102" t="s">
        <v>156</v>
      </c>
      <c r="T8" s="88"/>
      <c r="U8" s="88" t="s">
        <v>157</v>
      </c>
      <c r="V8" s="98">
        <f>V12</f>
        <v>150</v>
      </c>
    </row>
    <row r="9" spans="2:22">
      <c r="B9" s="93" t="s">
        <v>158</v>
      </c>
      <c r="C9" s="88" t="s">
        <v>159</v>
      </c>
      <c r="D9" s="93"/>
      <c r="E9" s="88"/>
      <c r="F9" s="89"/>
      <c r="G9" s="93" t="s">
        <v>158</v>
      </c>
      <c r="H9" s="88" t="s">
        <v>160</v>
      </c>
      <c r="I9" s="93"/>
      <c r="J9" s="88"/>
      <c r="K9" s="86"/>
      <c r="L9" s="93" t="s">
        <v>158</v>
      </c>
      <c r="M9" s="88" t="s">
        <v>161</v>
      </c>
      <c r="N9" s="93"/>
      <c r="O9" s="88"/>
      <c r="P9" s="86"/>
      <c r="Q9" s="88"/>
      <c r="R9" s="101"/>
      <c r="S9" s="102" t="s">
        <v>162</v>
      </c>
      <c r="T9" s="88"/>
      <c r="U9" s="88" t="s">
        <v>163</v>
      </c>
      <c r="V9" s="98">
        <f>V6/V8</f>
        <v>132826.66666666666</v>
      </c>
    </row>
    <row r="10" spans="2:22">
      <c r="B10" s="93"/>
      <c r="C10" s="88"/>
      <c r="D10" s="93"/>
      <c r="E10" s="88"/>
      <c r="F10" s="89"/>
      <c r="G10" s="93"/>
      <c r="H10" s="88"/>
      <c r="I10" s="93"/>
      <c r="J10" s="88"/>
      <c r="K10" s="86"/>
      <c r="L10" s="93"/>
      <c r="M10" s="88"/>
      <c r="N10" s="93"/>
      <c r="O10" s="88"/>
      <c r="P10" s="86"/>
      <c r="Q10" s="88"/>
      <c r="R10" s="101"/>
      <c r="S10" s="102" t="s">
        <v>164</v>
      </c>
      <c r="T10" s="88"/>
      <c r="U10" s="88"/>
      <c r="V10" s="98"/>
    </row>
    <row r="11" spans="2:22">
      <c r="B11" s="103" t="s">
        <v>165</v>
      </c>
      <c r="C11" s="104"/>
      <c r="D11" s="105"/>
      <c r="E11" s="106"/>
      <c r="F11" s="89"/>
      <c r="G11" s="103" t="s">
        <v>165</v>
      </c>
      <c r="H11" s="104"/>
      <c r="I11" s="105"/>
      <c r="J11" s="106"/>
      <c r="K11" s="86"/>
      <c r="L11" s="103" t="s">
        <v>165</v>
      </c>
      <c r="M11" s="104"/>
      <c r="N11" s="105"/>
      <c r="O11" s="106"/>
      <c r="P11" s="86"/>
      <c r="Q11" s="88"/>
      <c r="R11" s="101"/>
      <c r="S11" s="102" t="s">
        <v>166</v>
      </c>
      <c r="T11" s="88"/>
      <c r="U11" s="88" t="s">
        <v>167</v>
      </c>
      <c r="V11" s="98">
        <f>E27+J27+O27+E48+J48</f>
        <v>132000</v>
      </c>
    </row>
    <row r="12" spans="2:22" ht="32">
      <c r="B12" s="107" t="s">
        <v>168</v>
      </c>
      <c r="C12" s="88" t="s">
        <v>169</v>
      </c>
      <c r="D12" s="107" t="s">
        <v>170</v>
      </c>
      <c r="E12" s="108" t="s">
        <v>171</v>
      </c>
      <c r="F12" s="89"/>
      <c r="G12" s="107" t="s">
        <v>168</v>
      </c>
      <c r="H12" s="88" t="s">
        <v>169</v>
      </c>
      <c r="I12" s="107" t="s">
        <v>170</v>
      </c>
      <c r="J12" s="108" t="s">
        <v>171</v>
      </c>
      <c r="K12" s="86"/>
      <c r="L12" s="107" t="s">
        <v>168</v>
      </c>
      <c r="M12" s="88" t="s">
        <v>169</v>
      </c>
      <c r="N12" s="107" t="s">
        <v>170</v>
      </c>
      <c r="O12" s="108" t="s">
        <v>171</v>
      </c>
      <c r="P12" s="86"/>
      <c r="Q12" s="88"/>
      <c r="R12" s="101" t="s">
        <v>172</v>
      </c>
      <c r="S12" s="102" t="s">
        <v>173</v>
      </c>
      <c r="T12" s="88"/>
      <c r="U12" s="88" t="s">
        <v>174</v>
      </c>
      <c r="V12" s="98">
        <v>150</v>
      </c>
    </row>
    <row r="13" spans="2:22">
      <c r="B13" s="109" t="s">
        <v>175</v>
      </c>
      <c r="C13" s="88" t="s">
        <v>176</v>
      </c>
      <c r="D13" s="93" t="s">
        <v>177</v>
      </c>
      <c r="E13" s="108"/>
      <c r="F13" s="89"/>
      <c r="G13" s="109" t="s">
        <v>175</v>
      </c>
      <c r="H13" s="88" t="s">
        <v>178</v>
      </c>
      <c r="I13" s="93" t="s">
        <v>177</v>
      </c>
      <c r="J13" s="108"/>
      <c r="K13" s="86"/>
      <c r="L13" s="109" t="s">
        <v>175</v>
      </c>
      <c r="M13" s="88" t="s">
        <v>179</v>
      </c>
      <c r="N13" s="93" t="s">
        <v>177</v>
      </c>
      <c r="O13" s="108"/>
      <c r="P13" s="86"/>
      <c r="Q13" s="88"/>
      <c r="R13" s="101"/>
      <c r="S13" s="102" t="s">
        <v>180</v>
      </c>
      <c r="T13" s="88"/>
      <c r="U13" s="88" t="s">
        <v>181</v>
      </c>
      <c r="V13" s="98">
        <f>V11/V12</f>
        <v>880</v>
      </c>
    </row>
    <row r="14" spans="2:22">
      <c r="B14" s="110" t="s">
        <v>182</v>
      </c>
      <c r="C14" s="88"/>
      <c r="D14" s="88"/>
      <c r="E14" s="87"/>
      <c r="F14" s="89"/>
      <c r="G14" s="110" t="s">
        <v>182</v>
      </c>
      <c r="H14" s="88"/>
      <c r="I14" s="88"/>
      <c r="J14" s="90"/>
      <c r="K14" s="86"/>
      <c r="L14" s="110" t="s">
        <v>182</v>
      </c>
      <c r="M14" s="88"/>
      <c r="N14" s="88"/>
      <c r="O14" s="87"/>
      <c r="P14" s="86"/>
      <c r="Q14" s="88"/>
      <c r="R14" s="101" t="s">
        <v>183</v>
      </c>
      <c r="S14" s="102" t="s">
        <v>184</v>
      </c>
      <c r="T14" s="88"/>
      <c r="U14" s="88"/>
      <c r="V14" s="88"/>
    </row>
    <row r="15" spans="2:22">
      <c r="B15" s="93" t="s">
        <v>185</v>
      </c>
      <c r="C15" s="88">
        <v>4000</v>
      </c>
      <c r="D15" s="111"/>
      <c r="E15" s="87"/>
      <c r="F15" s="89"/>
      <c r="G15" s="93" t="s">
        <v>185</v>
      </c>
      <c r="H15" s="88">
        <v>3000</v>
      </c>
      <c r="I15" s="111"/>
      <c r="J15" s="90"/>
      <c r="K15" s="89"/>
      <c r="L15" s="93" t="s">
        <v>185</v>
      </c>
      <c r="M15" s="88">
        <v>500</v>
      </c>
      <c r="N15" s="111"/>
      <c r="O15" s="87"/>
      <c r="P15" s="86"/>
      <c r="Q15" s="88"/>
      <c r="R15" s="101"/>
      <c r="S15" s="102" t="s">
        <v>186</v>
      </c>
      <c r="T15" s="88"/>
      <c r="U15" s="88" t="s">
        <v>187</v>
      </c>
      <c r="V15" s="112">
        <v>0.45</v>
      </c>
    </row>
    <row r="16" spans="2:22">
      <c r="B16" s="93" t="s">
        <v>188</v>
      </c>
      <c r="C16" s="88">
        <v>12</v>
      </c>
      <c r="D16" s="93" t="s">
        <v>189</v>
      </c>
      <c r="E16" s="88">
        <f>SUM(C18*C17)</f>
        <v>240</v>
      </c>
      <c r="F16" s="89"/>
      <c r="G16" s="93" t="s">
        <v>188</v>
      </c>
      <c r="H16" s="88">
        <v>12</v>
      </c>
      <c r="I16" s="93" t="s">
        <v>189</v>
      </c>
      <c r="J16" s="88">
        <f>SUM(H18*H17)</f>
        <v>144</v>
      </c>
      <c r="K16" s="89"/>
      <c r="L16" s="93" t="s">
        <v>188</v>
      </c>
      <c r="M16" s="88">
        <v>4</v>
      </c>
      <c r="N16" s="93" t="s">
        <v>189</v>
      </c>
      <c r="O16" s="88">
        <f>SUM(M18*M17)</f>
        <v>10</v>
      </c>
      <c r="P16" s="86"/>
      <c r="Q16" s="88"/>
      <c r="R16" s="101"/>
      <c r="S16" s="102" t="s">
        <v>190</v>
      </c>
      <c r="T16" s="88"/>
      <c r="U16" s="8" t="s">
        <v>191</v>
      </c>
      <c r="V16" s="112">
        <v>0.45</v>
      </c>
    </row>
    <row r="17" spans="2:22">
      <c r="B17" s="93" t="s">
        <v>192</v>
      </c>
      <c r="C17" s="88">
        <v>24</v>
      </c>
      <c r="D17" s="93" t="s">
        <v>144</v>
      </c>
      <c r="E17" s="113">
        <f>SUM(C16*C15)</f>
        <v>48000</v>
      </c>
      <c r="F17" s="89"/>
      <c r="G17" s="93" t="s">
        <v>192</v>
      </c>
      <c r="H17" s="88">
        <v>12</v>
      </c>
      <c r="I17" s="93" t="s">
        <v>144</v>
      </c>
      <c r="J17" s="113">
        <f>SUM(H16*H15)</f>
        <v>36000</v>
      </c>
      <c r="K17" s="86"/>
      <c r="L17" s="93" t="s">
        <v>192</v>
      </c>
      <c r="M17" s="88">
        <v>1</v>
      </c>
      <c r="N17" s="93" t="s">
        <v>144</v>
      </c>
      <c r="O17" s="113">
        <f>SUM(M16*M15)</f>
        <v>2000</v>
      </c>
      <c r="P17" s="86"/>
      <c r="Q17" s="88"/>
      <c r="R17" s="101"/>
      <c r="S17" s="102" t="s">
        <v>193</v>
      </c>
      <c r="T17" s="88"/>
      <c r="U17" s="88" t="s">
        <v>194</v>
      </c>
      <c r="V17" s="112">
        <v>0.45</v>
      </c>
    </row>
    <row r="18" spans="2:22">
      <c r="B18" s="93" t="s">
        <v>195</v>
      </c>
      <c r="C18" s="88">
        <v>10</v>
      </c>
      <c r="D18" s="93" t="s">
        <v>149</v>
      </c>
      <c r="E18" s="113">
        <f>SUM(C18*C17*C16*C15)</f>
        <v>11520000</v>
      </c>
      <c r="F18" s="89"/>
      <c r="G18" s="93" t="s">
        <v>195</v>
      </c>
      <c r="H18" s="88">
        <v>12</v>
      </c>
      <c r="I18" s="93" t="s">
        <v>149</v>
      </c>
      <c r="J18" s="113">
        <f>SUM(H18*H17*H16*H15)</f>
        <v>5184000</v>
      </c>
      <c r="K18" s="86"/>
      <c r="L18" s="93" t="s">
        <v>195</v>
      </c>
      <c r="M18" s="88">
        <v>10</v>
      </c>
      <c r="N18" s="93" t="s">
        <v>149</v>
      </c>
      <c r="O18" s="113">
        <f>SUM(M18*M17*M16*M15)</f>
        <v>20000</v>
      </c>
      <c r="P18" s="86"/>
      <c r="Q18" s="88"/>
      <c r="R18" s="101"/>
      <c r="S18" s="102" t="s">
        <v>196</v>
      </c>
      <c r="T18" s="88"/>
      <c r="U18" s="88" t="s">
        <v>197</v>
      </c>
      <c r="V18" s="112">
        <v>0.6</v>
      </c>
    </row>
    <row r="19" spans="2:22">
      <c r="B19" s="93"/>
      <c r="C19" s="88"/>
      <c r="D19" s="88"/>
      <c r="E19" s="87"/>
      <c r="F19" s="89"/>
      <c r="G19" s="93"/>
      <c r="H19" s="88"/>
      <c r="I19" s="88"/>
      <c r="J19" s="90"/>
      <c r="K19" s="86"/>
      <c r="L19" s="111"/>
      <c r="M19" s="88"/>
      <c r="N19" s="88"/>
      <c r="O19" s="87"/>
      <c r="P19" s="86"/>
      <c r="Q19" s="88"/>
      <c r="R19" s="101"/>
      <c r="S19" s="102" t="s">
        <v>198</v>
      </c>
      <c r="T19" s="88"/>
      <c r="U19" s="88"/>
      <c r="V19" s="96"/>
    </row>
    <row r="20" spans="2:22">
      <c r="B20" s="93"/>
      <c r="C20" s="93" t="s">
        <v>199</v>
      </c>
      <c r="D20" s="93" t="s">
        <v>19</v>
      </c>
      <c r="E20" s="115" t="s">
        <v>18</v>
      </c>
      <c r="F20" s="116"/>
      <c r="G20" s="93"/>
      <c r="H20" s="93" t="s">
        <v>199</v>
      </c>
      <c r="I20" s="93" t="s">
        <v>19</v>
      </c>
      <c r="J20" s="115" t="s">
        <v>18</v>
      </c>
      <c r="K20" s="114"/>
      <c r="L20" s="93"/>
      <c r="M20" s="93" t="s">
        <v>199</v>
      </c>
      <c r="N20" s="93" t="s">
        <v>19</v>
      </c>
      <c r="O20" s="115" t="s">
        <v>18</v>
      </c>
      <c r="P20" s="114"/>
      <c r="Q20" s="94"/>
      <c r="R20" s="101"/>
      <c r="S20" s="102" t="s">
        <v>200</v>
      </c>
      <c r="T20" s="94"/>
      <c r="U20" s="88" t="s">
        <v>201</v>
      </c>
      <c r="V20" s="112">
        <v>0.2</v>
      </c>
    </row>
    <row r="21" spans="2:22" ht="15.75" customHeight="1">
      <c r="B21" s="93" t="s">
        <v>202</v>
      </c>
      <c r="C21" s="90">
        <f>SUM(D21*S3)</f>
        <v>63.375</v>
      </c>
      <c r="D21" s="90">
        <f>SUM(E21*S2)</f>
        <v>97.5</v>
      </c>
      <c r="E21" s="90">
        <v>150</v>
      </c>
      <c r="F21" s="89"/>
      <c r="G21" s="93" t="s">
        <v>202</v>
      </c>
      <c r="H21" s="90">
        <f>SUM(I21*S3)</f>
        <v>147.875</v>
      </c>
      <c r="I21" s="90">
        <f>SUM(J21*S2)</f>
        <v>227.5</v>
      </c>
      <c r="J21" s="90">
        <v>350</v>
      </c>
      <c r="K21" s="86"/>
      <c r="L21" s="93" t="s">
        <v>202</v>
      </c>
      <c r="M21" s="90">
        <f>SUM(N21*S3)</f>
        <v>211.25</v>
      </c>
      <c r="N21" s="90">
        <f>SUM(O21*S2)</f>
        <v>325</v>
      </c>
      <c r="O21" s="90">
        <v>500</v>
      </c>
      <c r="P21" s="86"/>
      <c r="Q21" s="88"/>
      <c r="R21" s="101" t="s">
        <v>203</v>
      </c>
      <c r="S21" s="102" t="s">
        <v>204</v>
      </c>
      <c r="T21" s="117"/>
      <c r="U21" s="88"/>
      <c r="V21" s="88"/>
    </row>
    <row r="22" spans="2:22" ht="15.75" customHeight="1">
      <c r="B22" s="93" t="s">
        <v>205</v>
      </c>
      <c r="C22" s="90">
        <f>SUM(D22*S3)</f>
        <v>760.5</v>
      </c>
      <c r="D22" s="90">
        <f>SUM(E22*S2)</f>
        <v>1170</v>
      </c>
      <c r="E22" s="90">
        <f>SUM(E21*C16)</f>
        <v>1800</v>
      </c>
      <c r="F22" s="89"/>
      <c r="G22" s="93" t="s">
        <v>205</v>
      </c>
      <c r="H22" s="90">
        <f>SUM(I22*S3)</f>
        <v>1774.5</v>
      </c>
      <c r="I22" s="90">
        <f>SUM(J22*S2)</f>
        <v>2730</v>
      </c>
      <c r="J22" s="90">
        <f>SUM(J21*H16)</f>
        <v>4200</v>
      </c>
      <c r="K22" s="86"/>
      <c r="L22" s="93" t="s">
        <v>205</v>
      </c>
      <c r="M22" s="90">
        <f>SUM(N22*S3)</f>
        <v>845</v>
      </c>
      <c r="N22" s="90">
        <f>SUM(O22*S2)</f>
        <v>1300</v>
      </c>
      <c r="O22" s="90">
        <f>SUM(O21*M16)</f>
        <v>2000</v>
      </c>
      <c r="P22" s="86"/>
      <c r="Q22" s="88"/>
      <c r="R22" s="101"/>
      <c r="S22" s="102" t="s">
        <v>206</v>
      </c>
      <c r="T22" s="117"/>
      <c r="U22" s="88" t="s">
        <v>207</v>
      </c>
      <c r="V22" s="96">
        <f>V2-V19</f>
        <v>5278000</v>
      </c>
    </row>
    <row r="23" spans="2:22" ht="15.75" customHeight="1">
      <c r="B23" s="93" t="s">
        <v>208</v>
      </c>
      <c r="C23" s="90">
        <f>SUM(D23*S3)</f>
        <v>3042000</v>
      </c>
      <c r="D23" s="90">
        <f>SUM(E23*S2)</f>
        <v>4680000</v>
      </c>
      <c r="E23" s="90">
        <f>SUM(E22*C15)</f>
        <v>7200000</v>
      </c>
      <c r="F23" s="89"/>
      <c r="G23" s="93" t="s">
        <v>208</v>
      </c>
      <c r="H23" s="90">
        <f>SUM(I23*S3)</f>
        <v>5323500</v>
      </c>
      <c r="I23" s="90">
        <f>SUM(J23*S2)</f>
        <v>8190000</v>
      </c>
      <c r="J23" s="90">
        <f>SUM(J22*H15)</f>
        <v>12600000</v>
      </c>
      <c r="K23" s="86"/>
      <c r="L23" s="93" t="s">
        <v>208</v>
      </c>
      <c r="M23" s="90">
        <f>SUM(N23*S3)</f>
        <v>422500</v>
      </c>
      <c r="N23" s="90">
        <f>SUM(O23*S2)</f>
        <v>650000</v>
      </c>
      <c r="O23" s="90">
        <f>SUM(O22*M15)</f>
        <v>1000000</v>
      </c>
      <c r="P23" s="86"/>
      <c r="Q23" s="88"/>
      <c r="R23" s="101"/>
      <c r="S23" s="102" t="s">
        <v>209</v>
      </c>
      <c r="T23" s="117"/>
      <c r="U23" s="88"/>
      <c r="V23" s="88"/>
    </row>
    <row r="24" spans="2:22" ht="15.75" customHeight="1">
      <c r="B24" s="87" t="s">
        <v>210</v>
      </c>
      <c r="C24" s="96">
        <f>D23-C23</f>
        <v>1638000</v>
      </c>
      <c r="D24" s="88"/>
      <c r="E24" s="87"/>
      <c r="F24" s="89"/>
      <c r="G24" s="87" t="s">
        <v>210</v>
      </c>
      <c r="H24" s="96">
        <f>I23-H23</f>
        <v>2866500</v>
      </c>
      <c r="I24" s="88"/>
      <c r="J24" s="90"/>
      <c r="K24" s="86"/>
      <c r="L24" s="87" t="s">
        <v>210</v>
      </c>
      <c r="M24" s="96">
        <f>N23-M23</f>
        <v>227500</v>
      </c>
      <c r="N24" s="88"/>
      <c r="O24" s="87"/>
      <c r="P24" s="86"/>
      <c r="Q24" s="88"/>
      <c r="R24" s="101"/>
      <c r="S24" s="102" t="s">
        <v>211</v>
      </c>
      <c r="T24" s="88"/>
      <c r="U24" s="88" t="s">
        <v>212</v>
      </c>
      <c r="V24" s="118">
        <f>E26+E45+J26+J45+O26</f>
        <v>7037.333333333333</v>
      </c>
    </row>
    <row r="25" spans="2:22" ht="15.75" customHeight="1">
      <c r="B25" s="107" t="s">
        <v>213</v>
      </c>
      <c r="C25" s="119">
        <f>SUM(C23/E18)</f>
        <v>0.26406249999999998</v>
      </c>
      <c r="D25" s="88" t="s">
        <v>214</v>
      </c>
      <c r="E25" s="120">
        <f>E18/$V$12</f>
        <v>76800</v>
      </c>
      <c r="F25" s="89"/>
      <c r="G25" s="107" t="s">
        <v>213</v>
      </c>
      <c r="H25" s="119">
        <f>SUM(H23/J18)</f>
        <v>1.0269097222222223</v>
      </c>
      <c r="I25" s="88" t="s">
        <v>214</v>
      </c>
      <c r="J25" s="120">
        <f>J18/$V$12</f>
        <v>34560</v>
      </c>
      <c r="K25" s="86"/>
      <c r="L25" s="107" t="s">
        <v>213</v>
      </c>
      <c r="M25" s="119">
        <f>SUM(M23/O18)</f>
        <v>21.125</v>
      </c>
      <c r="N25" s="88" t="s">
        <v>214</v>
      </c>
      <c r="O25" s="120">
        <f>O18/$V$12</f>
        <v>133.33333333333334</v>
      </c>
      <c r="P25" s="86"/>
      <c r="Q25" s="88"/>
      <c r="R25" s="101" t="s">
        <v>215</v>
      </c>
      <c r="S25" s="102" t="s">
        <v>216</v>
      </c>
      <c r="T25" s="88"/>
      <c r="U25" s="88" t="s">
        <v>217</v>
      </c>
      <c r="V25" s="96">
        <f>V24/V13</f>
        <v>7.9969696969696971</v>
      </c>
    </row>
    <row r="26" spans="2:22" ht="15.75" customHeight="1">
      <c r="B26" s="121" t="s">
        <v>218</v>
      </c>
      <c r="C26" s="119">
        <f>(D23-C23)/E18</f>
        <v>0.14218749999999999</v>
      </c>
      <c r="D26" s="88" t="s">
        <v>219</v>
      </c>
      <c r="E26" s="90">
        <f>E25*C26*$V$20</f>
        <v>2184</v>
      </c>
      <c r="F26" s="89"/>
      <c r="G26" s="121" t="s">
        <v>218</v>
      </c>
      <c r="H26" s="119">
        <f>(I23-H23)/J18</f>
        <v>0.55295138888888884</v>
      </c>
      <c r="I26" s="88" t="s">
        <v>219</v>
      </c>
      <c r="J26" s="90">
        <f>J25*H26*$V$20</f>
        <v>3822</v>
      </c>
      <c r="K26" s="86"/>
      <c r="L26" s="121" t="s">
        <v>218</v>
      </c>
      <c r="M26" s="119">
        <f>(N23-M23)/O18</f>
        <v>11.375</v>
      </c>
      <c r="N26" s="88" t="s">
        <v>219</v>
      </c>
      <c r="O26" s="90">
        <f>O25*M26*$V$20</f>
        <v>303.33333333333337</v>
      </c>
      <c r="P26" s="86"/>
      <c r="Q26" s="88"/>
      <c r="R26" s="101"/>
      <c r="S26" s="102" t="s">
        <v>220</v>
      </c>
      <c r="T26" s="88"/>
      <c r="U26" s="88"/>
      <c r="V26" s="88"/>
    </row>
    <row r="27" spans="2:22" ht="15.75" customHeight="1">
      <c r="B27" s="122" t="s">
        <v>221</v>
      </c>
      <c r="C27" s="88" t="s">
        <v>222</v>
      </c>
      <c r="D27" s="88">
        <v>1</v>
      </c>
      <c r="E27" s="120">
        <f>D27*C16*C15</f>
        <v>48000</v>
      </c>
      <c r="F27" s="89"/>
      <c r="G27" s="122" t="s">
        <v>221</v>
      </c>
      <c r="H27" s="88" t="s">
        <v>223</v>
      </c>
      <c r="I27" s="88">
        <v>2</v>
      </c>
      <c r="J27" s="120">
        <f>I27*H16*H15</f>
        <v>72000</v>
      </c>
      <c r="K27" s="86"/>
      <c r="L27" s="122" t="s">
        <v>221</v>
      </c>
      <c r="M27" s="88" t="s">
        <v>224</v>
      </c>
      <c r="N27" s="88">
        <v>4</v>
      </c>
      <c r="O27" s="120">
        <f>N27*M16*M15</f>
        <v>8000</v>
      </c>
      <c r="P27" s="86"/>
      <c r="Q27" s="88"/>
      <c r="R27" s="101"/>
      <c r="S27" s="102" t="s">
        <v>225</v>
      </c>
      <c r="T27" s="88"/>
      <c r="U27" s="88"/>
      <c r="V27" s="88"/>
    </row>
    <row r="28" spans="2:22" ht="15.75" customHeight="1">
      <c r="B28" s="123"/>
      <c r="C28" s="88" t="s">
        <v>226</v>
      </c>
      <c r="D28" s="88">
        <f>(D23-C23)/D23</f>
        <v>0.35</v>
      </c>
      <c r="E28" s="87"/>
      <c r="F28" s="89"/>
      <c r="G28" s="121"/>
      <c r="H28" s="117"/>
      <c r="I28" s="88"/>
      <c r="J28" s="90"/>
      <c r="K28" s="86"/>
      <c r="L28" s="123"/>
      <c r="M28" s="88" t="s">
        <v>227</v>
      </c>
      <c r="N28" s="88"/>
      <c r="O28" s="87"/>
      <c r="P28" s="86"/>
      <c r="Q28" s="88"/>
      <c r="R28" s="101"/>
      <c r="S28" s="102" t="s">
        <v>228</v>
      </c>
      <c r="T28" s="88" t="s">
        <v>229</v>
      </c>
      <c r="U28" s="88" t="s">
        <v>230</v>
      </c>
      <c r="V28" s="88"/>
    </row>
    <row r="29" spans="2:22" ht="15.75" customHeight="1">
      <c r="B29" s="87"/>
      <c r="C29" s="88"/>
      <c r="D29" s="88"/>
      <c r="E29" s="87"/>
      <c r="F29" s="89"/>
      <c r="G29" s="121"/>
      <c r="H29" s="117"/>
      <c r="I29" s="88"/>
      <c r="J29" s="90"/>
      <c r="K29" s="86"/>
      <c r="L29" s="87"/>
      <c r="M29" s="88" t="s">
        <v>231</v>
      </c>
      <c r="N29" s="88"/>
      <c r="O29" s="87"/>
      <c r="P29" s="86"/>
      <c r="Q29" s="88"/>
      <c r="R29" s="88"/>
      <c r="S29" s="88"/>
      <c r="T29" s="88" t="s">
        <v>232</v>
      </c>
      <c r="U29" s="88" t="s">
        <v>233</v>
      </c>
      <c r="V29" s="88"/>
    </row>
    <row r="30" spans="2:22" ht="15.75" customHeight="1">
      <c r="B30" s="103" t="s">
        <v>234</v>
      </c>
      <c r="C30" s="104"/>
      <c r="D30" s="105"/>
      <c r="E30" s="106"/>
      <c r="F30" s="89"/>
      <c r="G30" s="103" t="s">
        <v>234</v>
      </c>
      <c r="H30" s="104"/>
      <c r="I30" s="105"/>
      <c r="J30" s="106"/>
      <c r="K30" s="86"/>
      <c r="L30" s="87"/>
      <c r="M30" s="88"/>
      <c r="N30" s="88"/>
      <c r="O30" s="87"/>
      <c r="P30" s="86"/>
      <c r="Q30" s="88"/>
      <c r="R30" s="88" t="s">
        <v>235</v>
      </c>
      <c r="S30" s="124">
        <v>45901</v>
      </c>
      <c r="T30" s="88">
        <v>2</v>
      </c>
      <c r="U30" s="88">
        <v>2</v>
      </c>
      <c r="V30" s="88"/>
    </row>
    <row r="31" spans="2:22" ht="15.75" customHeight="1">
      <c r="B31" s="107" t="s">
        <v>168</v>
      </c>
      <c r="C31" s="88" t="s">
        <v>236</v>
      </c>
      <c r="D31" s="107" t="s">
        <v>170</v>
      </c>
      <c r="E31" s="108" t="s">
        <v>237</v>
      </c>
      <c r="F31" s="89"/>
      <c r="G31" s="107" t="s">
        <v>168</v>
      </c>
      <c r="H31" s="88" t="s">
        <v>236</v>
      </c>
      <c r="I31" s="107" t="s">
        <v>170</v>
      </c>
      <c r="J31" s="108" t="s">
        <v>237</v>
      </c>
      <c r="K31" s="86"/>
      <c r="L31" s="87"/>
      <c r="M31" s="88"/>
      <c r="N31" s="88"/>
      <c r="O31" s="87"/>
      <c r="P31" s="86"/>
      <c r="Q31" s="88"/>
      <c r="R31" s="88" t="s">
        <v>238</v>
      </c>
      <c r="S31" s="124">
        <v>45992</v>
      </c>
      <c r="T31" s="88">
        <v>2</v>
      </c>
      <c r="U31" s="88">
        <v>2</v>
      </c>
      <c r="V31" s="88"/>
    </row>
    <row r="32" spans="2:22" ht="15.75" customHeight="1">
      <c r="B32" s="109" t="s">
        <v>175</v>
      </c>
      <c r="C32" s="88" t="s">
        <v>239</v>
      </c>
      <c r="D32" s="93" t="s">
        <v>177</v>
      </c>
      <c r="E32" s="108"/>
      <c r="F32" s="89"/>
      <c r="G32" s="109" t="s">
        <v>175</v>
      </c>
      <c r="H32" s="88" t="s">
        <v>240</v>
      </c>
      <c r="I32" s="93" t="s">
        <v>177</v>
      </c>
      <c r="J32" s="108"/>
      <c r="K32" s="86"/>
      <c r="L32" s="87"/>
      <c r="M32" s="88"/>
      <c r="N32" s="88"/>
      <c r="O32" s="87"/>
      <c r="P32" s="86"/>
      <c r="Q32" s="88"/>
      <c r="R32" s="88" t="s">
        <v>241</v>
      </c>
      <c r="S32" s="124">
        <v>46082</v>
      </c>
      <c r="T32" s="88">
        <v>2</v>
      </c>
      <c r="U32" s="88">
        <v>2</v>
      </c>
      <c r="V32" s="88"/>
    </row>
    <row r="33" spans="2:19" ht="15.75" customHeight="1">
      <c r="B33" s="110" t="s">
        <v>182</v>
      </c>
      <c r="C33" s="88"/>
      <c r="D33" s="88"/>
      <c r="E33" s="87"/>
      <c r="F33" s="89"/>
      <c r="G33" s="110" t="s">
        <v>182</v>
      </c>
      <c r="H33" s="88"/>
      <c r="I33" s="88"/>
      <c r="J33" s="87"/>
      <c r="K33" s="86"/>
      <c r="L33" s="87"/>
      <c r="M33" s="88"/>
      <c r="N33" s="88"/>
      <c r="O33" s="87"/>
      <c r="P33" s="86"/>
      <c r="Q33" s="88"/>
      <c r="R33" s="94"/>
      <c r="S33" s="92"/>
    </row>
    <row r="34" spans="2:19" ht="15.75" customHeight="1">
      <c r="B34" s="93" t="s">
        <v>185</v>
      </c>
      <c r="C34" s="88">
        <v>2000</v>
      </c>
      <c r="D34" s="111"/>
      <c r="E34" s="87"/>
      <c r="F34" s="89"/>
      <c r="G34" s="93" t="s">
        <v>185</v>
      </c>
      <c r="H34" s="88">
        <v>2000</v>
      </c>
      <c r="I34" s="111"/>
      <c r="J34" s="87"/>
      <c r="K34" s="86"/>
      <c r="L34" s="87"/>
      <c r="M34" s="88"/>
      <c r="N34" s="88"/>
      <c r="O34" s="87"/>
      <c r="P34" s="86"/>
      <c r="Q34" s="88"/>
      <c r="R34" s="91" t="s">
        <v>242</v>
      </c>
      <c r="S34" s="90">
        <v>450</v>
      </c>
    </row>
    <row r="35" spans="2:19" ht="15.75" customHeight="1">
      <c r="B35" s="93" t="s">
        <v>188</v>
      </c>
      <c r="C35" s="88">
        <v>20</v>
      </c>
      <c r="D35" s="93" t="s">
        <v>189</v>
      </c>
      <c r="E35" s="88">
        <f>SUM(C37*C36)</f>
        <v>48</v>
      </c>
      <c r="F35" s="89"/>
      <c r="G35" s="93" t="s">
        <v>188</v>
      </c>
      <c r="H35" s="88">
        <v>20</v>
      </c>
      <c r="I35" s="93" t="s">
        <v>189</v>
      </c>
      <c r="J35" s="88">
        <f>SUM(H37*H36)</f>
        <v>32</v>
      </c>
      <c r="K35" s="86"/>
      <c r="L35" s="87"/>
      <c r="M35" s="88"/>
      <c r="N35" s="88"/>
      <c r="O35" s="87"/>
      <c r="P35" s="86"/>
      <c r="Q35" s="88"/>
      <c r="R35" s="91" t="s">
        <v>243</v>
      </c>
      <c r="S35" s="120">
        <v>50</v>
      </c>
    </row>
    <row r="36" spans="2:19" ht="15.75" customHeight="1">
      <c r="B36" s="93" t="s">
        <v>192</v>
      </c>
      <c r="C36" s="88">
        <v>4</v>
      </c>
      <c r="D36" s="93" t="s">
        <v>144</v>
      </c>
      <c r="E36" s="113">
        <f>SUM(C35*C34)</f>
        <v>40000</v>
      </c>
      <c r="F36" s="89"/>
      <c r="G36" s="93" t="s">
        <v>192</v>
      </c>
      <c r="H36" s="88">
        <v>4</v>
      </c>
      <c r="I36" s="93" t="s">
        <v>144</v>
      </c>
      <c r="J36" s="113">
        <f>SUM(H35*H34)</f>
        <v>40000</v>
      </c>
      <c r="K36" s="86"/>
      <c r="L36" s="87"/>
      <c r="M36" s="88"/>
      <c r="N36" s="88"/>
      <c r="O36" s="87"/>
      <c r="P36" s="86"/>
      <c r="Q36" s="88"/>
      <c r="R36" s="91"/>
      <c r="S36" s="92"/>
    </row>
    <row r="37" spans="2:19" ht="15.75" customHeight="1">
      <c r="B37" s="93" t="s">
        <v>195</v>
      </c>
      <c r="C37" s="88">
        <v>12</v>
      </c>
      <c r="D37" s="93" t="s">
        <v>149</v>
      </c>
      <c r="E37" s="113">
        <f>SUM(C37*C36*C35*C34)</f>
        <v>1920000</v>
      </c>
      <c r="F37" s="89"/>
      <c r="G37" s="93" t="s">
        <v>195</v>
      </c>
      <c r="H37" s="88">
        <v>8</v>
      </c>
      <c r="I37" s="93" t="s">
        <v>149</v>
      </c>
      <c r="J37" s="113">
        <f>SUM(H37*H36*H35*H34)</f>
        <v>1280000</v>
      </c>
      <c r="K37" s="86"/>
      <c r="L37" s="87"/>
      <c r="M37" s="88"/>
      <c r="N37" s="88"/>
      <c r="O37" s="87"/>
      <c r="P37" s="86"/>
      <c r="Q37" s="88"/>
      <c r="R37" s="91"/>
      <c r="S37" s="92"/>
    </row>
    <row r="38" spans="2:19" ht="15.75" customHeight="1">
      <c r="B38" s="93"/>
      <c r="C38" s="88"/>
      <c r="D38" s="88"/>
      <c r="E38" s="87"/>
      <c r="F38" s="89"/>
      <c r="G38" s="93"/>
      <c r="H38" s="88"/>
      <c r="I38" s="88"/>
      <c r="J38" s="87"/>
      <c r="K38" s="86"/>
      <c r="L38" s="87"/>
      <c r="M38" s="88"/>
      <c r="N38" s="88"/>
      <c r="O38" s="87"/>
      <c r="P38" s="86"/>
      <c r="Q38" s="88"/>
      <c r="R38" s="91"/>
      <c r="S38" s="92"/>
    </row>
    <row r="39" spans="2:19" ht="15.75" customHeight="1">
      <c r="B39" s="93"/>
      <c r="C39" s="93" t="s">
        <v>199</v>
      </c>
      <c r="D39" s="93" t="s">
        <v>19</v>
      </c>
      <c r="E39" s="115" t="s">
        <v>18</v>
      </c>
      <c r="F39" s="89"/>
      <c r="G39" s="93"/>
      <c r="H39" s="93" t="s">
        <v>199</v>
      </c>
      <c r="I39" s="93" t="s">
        <v>19</v>
      </c>
      <c r="J39" s="115" t="s">
        <v>18</v>
      </c>
      <c r="K39" s="86"/>
      <c r="L39" s="87"/>
      <c r="M39" s="88"/>
      <c r="N39" s="88"/>
      <c r="O39" s="87"/>
      <c r="P39" s="86"/>
      <c r="Q39" s="88"/>
      <c r="R39" s="91"/>
      <c r="S39" s="92"/>
    </row>
    <row r="40" spans="2:19" ht="15.75" customHeight="1">
      <c r="B40" s="93" t="s">
        <v>202</v>
      </c>
      <c r="C40" s="90">
        <f>SUM(D40*S3)</f>
        <v>12.675000000000001</v>
      </c>
      <c r="D40" s="90">
        <f>SUM(E40*S2)</f>
        <v>19.5</v>
      </c>
      <c r="E40" s="90">
        <v>30</v>
      </c>
      <c r="F40" s="89"/>
      <c r="G40" s="93" t="s">
        <v>202</v>
      </c>
      <c r="H40" s="90">
        <f>SUM(I40*S3)</f>
        <v>12.675000000000001</v>
      </c>
      <c r="I40" s="90">
        <f>SUM(J40*S2)</f>
        <v>19.5</v>
      </c>
      <c r="J40" s="90">
        <v>30</v>
      </c>
      <c r="K40" s="86"/>
      <c r="L40" s="87"/>
      <c r="M40" s="88"/>
      <c r="N40" s="88"/>
      <c r="O40" s="87"/>
      <c r="P40" s="86"/>
      <c r="Q40" s="88"/>
      <c r="R40" s="91"/>
      <c r="S40" s="92"/>
    </row>
    <row r="41" spans="2:19" ht="15.75" customHeight="1">
      <c r="B41" s="93" t="s">
        <v>205</v>
      </c>
      <c r="C41" s="90">
        <f>SUM(D41*S3)</f>
        <v>253.5</v>
      </c>
      <c r="D41" s="90">
        <f>SUM(E41*S2)</f>
        <v>390</v>
      </c>
      <c r="E41" s="90">
        <f>SUM(E40*C35)</f>
        <v>600</v>
      </c>
      <c r="F41" s="89"/>
      <c r="G41" s="93" t="s">
        <v>205</v>
      </c>
      <c r="H41" s="90">
        <f>SUM(I41*S3)</f>
        <v>253.5</v>
      </c>
      <c r="I41" s="90">
        <f>SUM(J41*S2)</f>
        <v>390</v>
      </c>
      <c r="J41" s="90">
        <f>SUM(J40*H35)</f>
        <v>600</v>
      </c>
      <c r="K41" s="86"/>
      <c r="L41" s="87"/>
      <c r="M41" s="88"/>
      <c r="N41" s="88"/>
      <c r="O41" s="87"/>
      <c r="P41" s="86"/>
      <c r="Q41" s="88"/>
      <c r="R41" s="91"/>
      <c r="S41" s="92"/>
    </row>
    <row r="42" spans="2:19" ht="15.75" customHeight="1">
      <c r="B42" s="93" t="s">
        <v>208</v>
      </c>
      <c r="C42" s="90">
        <f>SUM(D42*S3)</f>
        <v>507000</v>
      </c>
      <c r="D42" s="90">
        <f>SUM(E42*S2)</f>
        <v>780000</v>
      </c>
      <c r="E42" s="90">
        <f>SUM(E41*C34)</f>
        <v>1200000</v>
      </c>
      <c r="F42" s="89"/>
      <c r="G42" s="93" t="s">
        <v>208</v>
      </c>
      <c r="H42" s="90">
        <f>SUM(I42*S3)</f>
        <v>507000</v>
      </c>
      <c r="I42" s="90">
        <f>SUM(J42*S2)</f>
        <v>780000</v>
      </c>
      <c r="J42" s="90">
        <f>SUM(J41*H34)</f>
        <v>1200000</v>
      </c>
      <c r="K42" s="86"/>
      <c r="L42" s="87"/>
      <c r="M42" s="88"/>
      <c r="N42" s="88"/>
      <c r="O42" s="87"/>
      <c r="P42" s="86"/>
      <c r="Q42" s="88"/>
      <c r="R42" s="91"/>
      <c r="S42" s="92"/>
    </row>
    <row r="43" spans="2:19" ht="15.75" customHeight="1">
      <c r="B43" s="87" t="s">
        <v>210</v>
      </c>
      <c r="C43" s="96">
        <f>D42-C42</f>
        <v>273000</v>
      </c>
      <c r="D43" s="88"/>
      <c r="E43" s="87"/>
      <c r="F43" s="89"/>
      <c r="G43" s="87" t="s">
        <v>210</v>
      </c>
      <c r="H43" s="96">
        <f>I42-H42</f>
        <v>273000</v>
      </c>
      <c r="I43" s="88"/>
      <c r="J43" s="90"/>
      <c r="K43" s="86"/>
      <c r="L43" s="87"/>
      <c r="M43" s="88"/>
      <c r="N43" s="88"/>
      <c r="O43" s="87"/>
      <c r="P43" s="86"/>
      <c r="Q43" s="88"/>
      <c r="R43" s="91"/>
      <c r="S43" s="92"/>
    </row>
    <row r="44" spans="2:19" ht="15.75" customHeight="1">
      <c r="B44" s="107" t="s">
        <v>213</v>
      </c>
      <c r="C44" s="119">
        <f>SUM(C42/E37)</f>
        <v>0.26406249999999998</v>
      </c>
      <c r="D44" s="88" t="s">
        <v>214</v>
      </c>
      <c r="E44" s="120">
        <f>E37/$V$12</f>
        <v>12800</v>
      </c>
      <c r="F44" s="89"/>
      <c r="G44" s="107" t="s">
        <v>213</v>
      </c>
      <c r="H44" s="119">
        <f>SUM(H42/J37)</f>
        <v>0.39609375000000002</v>
      </c>
      <c r="I44" s="88" t="s">
        <v>214</v>
      </c>
      <c r="J44" s="120">
        <f>J37/$V$12</f>
        <v>8533.3333333333339</v>
      </c>
      <c r="K44" s="86"/>
      <c r="L44" s="87"/>
      <c r="M44" s="88"/>
      <c r="N44" s="88"/>
      <c r="O44" s="87"/>
      <c r="P44" s="86"/>
      <c r="Q44" s="88"/>
      <c r="R44" s="91"/>
      <c r="S44" s="92"/>
    </row>
    <row r="45" spans="2:19" ht="15.75" customHeight="1">
      <c r="B45" s="121" t="s">
        <v>218</v>
      </c>
      <c r="C45" s="119">
        <f>(D42-C42)/E37</f>
        <v>0.14218749999999999</v>
      </c>
      <c r="D45" s="88" t="s">
        <v>219</v>
      </c>
      <c r="E45" s="90">
        <f>E44*C45*$V$20</f>
        <v>364</v>
      </c>
      <c r="F45" s="89"/>
      <c r="G45" s="121" t="s">
        <v>218</v>
      </c>
      <c r="H45" s="119">
        <f>(I42-H42)/J37</f>
        <v>0.21328125000000001</v>
      </c>
      <c r="I45" s="88" t="s">
        <v>219</v>
      </c>
      <c r="J45" s="90">
        <f>J44*H45*$V$20</f>
        <v>364.00000000000006</v>
      </c>
      <c r="K45" s="86"/>
      <c r="L45" s="87"/>
      <c r="M45" s="88"/>
      <c r="N45" s="88"/>
      <c r="O45" s="87"/>
      <c r="P45" s="86"/>
      <c r="Q45" s="88"/>
      <c r="R45" s="91"/>
      <c r="S45" s="92"/>
    </row>
    <row r="46" spans="2:19" ht="15.75" customHeight="1">
      <c r="B46" s="122" t="s">
        <v>221</v>
      </c>
      <c r="C46" s="91" t="s">
        <v>244</v>
      </c>
      <c r="D46" s="91" t="s">
        <v>245</v>
      </c>
      <c r="E46" s="87"/>
      <c r="F46" s="89"/>
      <c r="G46" s="122" t="s">
        <v>221</v>
      </c>
      <c r="H46" s="91" t="s">
        <v>244</v>
      </c>
      <c r="I46" s="91" t="s">
        <v>245</v>
      </c>
      <c r="J46" s="90"/>
      <c r="K46" s="86"/>
      <c r="L46" s="87"/>
      <c r="M46" s="88"/>
      <c r="N46" s="88"/>
      <c r="O46" s="87"/>
      <c r="P46" s="86"/>
      <c r="Q46" s="88"/>
      <c r="R46" s="91"/>
      <c r="S46" s="92"/>
    </row>
    <row r="47" spans="2:19" ht="15.75" customHeight="1">
      <c r="B47" s="123"/>
      <c r="C47" s="125" t="s">
        <v>246</v>
      </c>
      <c r="D47" s="91" t="s">
        <v>247</v>
      </c>
      <c r="E47" s="87">
        <v>1</v>
      </c>
      <c r="F47" s="89"/>
      <c r="G47" s="87"/>
      <c r="H47" s="125" t="s">
        <v>246</v>
      </c>
      <c r="I47" s="91" t="s">
        <v>247</v>
      </c>
      <c r="J47" s="120">
        <v>1</v>
      </c>
      <c r="K47" s="86"/>
      <c r="L47" s="87"/>
      <c r="M47" s="88"/>
      <c r="N47" s="88"/>
      <c r="O47" s="87"/>
      <c r="P47" s="86"/>
      <c r="Q47" s="88"/>
      <c r="R47" s="91"/>
      <c r="S47" s="92"/>
    </row>
    <row r="48" spans="2:19" ht="15.75" customHeight="1">
      <c r="B48" s="87"/>
      <c r="C48" s="88"/>
      <c r="D48" s="88"/>
      <c r="E48" s="120">
        <f>E47*C34</f>
        <v>2000</v>
      </c>
      <c r="F48" s="89"/>
      <c r="G48" s="87"/>
      <c r="H48" s="88"/>
      <c r="I48" s="88"/>
      <c r="J48" s="120">
        <f>J47*H34</f>
        <v>2000</v>
      </c>
      <c r="K48" s="86"/>
      <c r="L48" s="87"/>
      <c r="M48" s="88"/>
      <c r="N48" s="88"/>
      <c r="O48" s="87"/>
      <c r="P48" s="86"/>
      <c r="Q48" s="88"/>
      <c r="R48" s="91"/>
      <c r="S48" s="92"/>
    </row>
    <row r="50" spans="3:15" ht="15.75" customHeight="1">
      <c r="C50" s="8" t="s">
        <v>248</v>
      </c>
      <c r="D50" s="8" t="s">
        <v>249</v>
      </c>
      <c r="E50" s="87" t="s">
        <v>250</v>
      </c>
      <c r="F50" s="89"/>
      <c r="G50" s="87"/>
      <c r="H50" s="8" t="s">
        <v>248</v>
      </c>
      <c r="I50" s="8" t="s">
        <v>249</v>
      </c>
      <c r="J50" s="87" t="s">
        <v>250</v>
      </c>
      <c r="K50" s="86"/>
      <c r="L50" s="87"/>
      <c r="M50" s="8" t="s">
        <v>248</v>
      </c>
      <c r="N50" s="8" t="s">
        <v>249</v>
      </c>
      <c r="O50" s="87" t="s">
        <v>250</v>
      </c>
    </row>
    <row r="51" spans="3:15" ht="15.75" customHeight="1">
      <c r="C51" s="8" t="s">
        <v>169</v>
      </c>
      <c r="D51" s="7">
        <f>C15/$S$35</f>
        <v>80</v>
      </c>
      <c r="E51" s="87">
        <f t="shared" ref="E51:E52" si="1">D51*$S$34</f>
        <v>36000</v>
      </c>
      <c r="F51" s="89"/>
      <c r="G51" s="87"/>
      <c r="H51" s="8" t="s">
        <v>169</v>
      </c>
      <c r="I51" s="7">
        <f>H15/$S$35</f>
        <v>60</v>
      </c>
      <c r="J51" s="87">
        <f t="shared" ref="J51:J52" si="2">I51*$S$34</f>
        <v>27000</v>
      </c>
      <c r="K51" s="86"/>
      <c r="L51" s="87"/>
      <c r="M51" s="8" t="s">
        <v>169</v>
      </c>
      <c r="N51" s="7">
        <f>M15/$S$35</f>
        <v>10</v>
      </c>
      <c r="O51" s="87">
        <f t="shared" ref="O51:O52" si="3">N51*$S$34</f>
        <v>4500</v>
      </c>
    </row>
    <row r="52" spans="3:15" ht="15.75" customHeight="1">
      <c r="C52" s="8" t="s">
        <v>236</v>
      </c>
      <c r="D52" s="7">
        <f>C34/$S$35</f>
        <v>40</v>
      </c>
      <c r="E52" s="87">
        <f t="shared" si="1"/>
        <v>18000</v>
      </c>
      <c r="F52" s="89"/>
      <c r="G52" s="87"/>
      <c r="H52" s="8" t="s">
        <v>236</v>
      </c>
      <c r="I52" s="7">
        <f>H34/$S$35</f>
        <v>40</v>
      </c>
      <c r="J52" s="87">
        <f t="shared" si="2"/>
        <v>18000</v>
      </c>
      <c r="K52" s="86"/>
      <c r="L52" s="87"/>
      <c r="M52" s="8" t="s">
        <v>236</v>
      </c>
      <c r="N52" s="7">
        <f>M34/$S$35</f>
        <v>0</v>
      </c>
      <c r="O52" s="87">
        <f t="shared" si="3"/>
        <v>0</v>
      </c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48F2-D023-4591-BE61-B39E8E11F12D}">
  <dimension ref="A2:BP104"/>
  <sheetViews>
    <sheetView topLeftCell="A74" zoomScaleNormal="100" workbookViewId="0">
      <selection activeCell="B85" sqref="B85"/>
    </sheetView>
  </sheetViews>
  <sheetFormatPr baseColWidth="10" defaultColWidth="9.1640625" defaultRowHeight="15"/>
  <cols>
    <col min="1" max="1" width="33.83203125" style="537" bestFit="1" customWidth="1"/>
    <col min="2" max="2" width="17.5" style="537" bestFit="1" customWidth="1"/>
    <col min="3" max="3" width="15" style="537" bestFit="1" customWidth="1"/>
    <col min="4" max="4" width="14.5" style="537" bestFit="1" customWidth="1"/>
    <col min="5" max="5" width="8.33203125" style="537" bestFit="1" customWidth="1"/>
    <col min="6" max="6" width="24.6640625" style="537" bestFit="1" customWidth="1"/>
    <col min="7" max="7" width="14.33203125" style="537" bestFit="1" customWidth="1"/>
    <col min="8" max="8" width="15" style="537" bestFit="1" customWidth="1"/>
    <col min="9" max="9" width="14.5" style="537" bestFit="1" customWidth="1"/>
    <col min="10" max="10" width="12.6640625" style="537" bestFit="1" customWidth="1"/>
    <col min="11" max="11" width="24.6640625" style="537" bestFit="1" customWidth="1"/>
    <col min="12" max="12" width="14.33203125" style="537" bestFit="1" customWidth="1"/>
    <col min="13" max="13" width="15" style="537" bestFit="1" customWidth="1"/>
    <col min="14" max="14" width="14.5" style="537" bestFit="1" customWidth="1"/>
    <col min="15" max="15" width="11.83203125" style="537" bestFit="1" customWidth="1"/>
    <col min="16" max="16" width="24.6640625" style="537" bestFit="1" customWidth="1"/>
    <col min="17" max="17" width="17.5" style="537" bestFit="1" customWidth="1"/>
    <col min="18" max="18" width="15.33203125" style="537" bestFit="1" customWidth="1"/>
    <col min="19" max="19" width="14.33203125" style="537" bestFit="1" customWidth="1"/>
    <col min="20" max="20" width="10.33203125" style="537" bestFit="1" customWidth="1"/>
    <col min="21" max="21" width="24.6640625" style="537" bestFit="1" customWidth="1"/>
    <col min="22" max="23" width="15.33203125" style="537" bestFit="1" customWidth="1"/>
    <col min="24" max="24" width="14.33203125" style="537" bestFit="1" customWidth="1"/>
    <col min="25" max="25" width="9.1640625" style="537"/>
    <col min="26" max="26" width="24.6640625" style="537" bestFit="1" customWidth="1"/>
    <col min="27" max="27" width="17.5" style="537" bestFit="1" customWidth="1"/>
    <col min="28" max="28" width="15.33203125" style="537" bestFit="1" customWidth="1"/>
    <col min="29" max="29" width="14.33203125" style="537" bestFit="1" customWidth="1"/>
    <col min="30" max="30" width="10.33203125" style="537" bestFit="1" customWidth="1"/>
    <col min="31" max="31" width="24.6640625" style="537" bestFit="1" customWidth="1"/>
    <col min="32" max="32" width="17.5" style="537" bestFit="1" customWidth="1"/>
    <col min="33" max="33" width="15.33203125" style="537" bestFit="1" customWidth="1"/>
    <col min="34" max="34" width="14.33203125" style="537" bestFit="1" customWidth="1"/>
    <col min="35" max="40" width="9.1640625" style="537"/>
    <col min="41" max="41" width="11.83203125" style="537" bestFit="1" customWidth="1"/>
    <col min="42" max="43" width="10.33203125" style="537" bestFit="1" customWidth="1"/>
    <col min="44" max="53" width="9.1640625" style="537"/>
    <col min="54" max="54" width="11.83203125" style="537" bestFit="1" customWidth="1"/>
    <col min="55" max="67" width="9.1640625" style="537"/>
    <col min="68" max="68" width="13.6640625" style="537" bestFit="1" customWidth="1"/>
    <col min="69" max="16384" width="9.1640625" style="537"/>
  </cols>
  <sheetData>
    <row r="2" spans="1:34" ht="16" thickBot="1">
      <c r="A2" s="535" t="s">
        <v>745</v>
      </c>
      <c r="B2" s="536"/>
      <c r="C2" s="536"/>
      <c r="D2" s="536"/>
      <c r="E2" s="536"/>
      <c r="F2" s="535" t="s">
        <v>745</v>
      </c>
      <c r="G2" s="536"/>
      <c r="H2" s="536"/>
      <c r="I2" s="536"/>
      <c r="J2" s="536"/>
      <c r="K2" s="535" t="s">
        <v>745</v>
      </c>
      <c r="L2" s="536"/>
      <c r="M2" s="536"/>
      <c r="N2" s="536"/>
      <c r="O2" s="536"/>
      <c r="P2" s="535" t="s">
        <v>745</v>
      </c>
      <c r="Q2" s="536"/>
      <c r="R2" s="536"/>
      <c r="S2" s="536"/>
      <c r="U2" s="535" t="s">
        <v>745</v>
      </c>
      <c r="V2" s="536"/>
      <c r="W2" s="536"/>
      <c r="X2" s="536"/>
      <c r="Z2" s="535" t="s">
        <v>745</v>
      </c>
      <c r="AA2" s="536"/>
      <c r="AB2" s="536"/>
      <c r="AC2" s="536"/>
      <c r="AE2" s="535" t="s">
        <v>745</v>
      </c>
      <c r="AF2" s="536"/>
      <c r="AG2" s="536"/>
      <c r="AH2" s="536"/>
    </row>
    <row r="3" spans="1:34" ht="34.5" customHeight="1" thickBot="1">
      <c r="A3" s="538" t="s">
        <v>746</v>
      </c>
      <c r="B3" s="955">
        <v>46218</v>
      </c>
      <c r="C3" s="539" t="s">
        <v>747</v>
      </c>
      <c r="D3" s="536"/>
      <c r="E3" s="536"/>
      <c r="F3" s="538" t="s">
        <v>748</v>
      </c>
      <c r="G3" s="955">
        <v>46280</v>
      </c>
      <c r="H3" s="539" t="s">
        <v>747</v>
      </c>
      <c r="I3" s="536"/>
      <c r="J3" s="536"/>
      <c r="K3" s="538" t="s">
        <v>749</v>
      </c>
      <c r="L3" s="955">
        <v>46402</v>
      </c>
      <c r="M3" s="539" t="s">
        <v>747</v>
      </c>
      <c r="N3" s="536"/>
      <c r="O3" s="536"/>
      <c r="P3" s="538" t="s">
        <v>750</v>
      </c>
      <c r="Q3" s="540">
        <v>46492</v>
      </c>
      <c r="R3" s="539" t="s">
        <v>747</v>
      </c>
      <c r="S3" s="536"/>
      <c r="U3" s="538" t="s">
        <v>751</v>
      </c>
      <c r="V3" s="540">
        <v>46583</v>
      </c>
      <c r="W3" s="539" t="s">
        <v>747</v>
      </c>
      <c r="X3" s="536"/>
      <c r="Z3" s="538" t="s">
        <v>752</v>
      </c>
      <c r="AA3" s="540">
        <v>46780</v>
      </c>
      <c r="AB3" s="539" t="s">
        <v>747</v>
      </c>
      <c r="AC3" s="536"/>
      <c r="AE3" s="538" t="s">
        <v>753</v>
      </c>
      <c r="AF3" s="540">
        <v>47144</v>
      </c>
      <c r="AG3" s="539" t="s">
        <v>747</v>
      </c>
      <c r="AH3" s="536"/>
    </row>
    <row r="4" spans="1:34" ht="16" thickBot="1">
      <c r="A4" s="536"/>
      <c r="B4" s="536"/>
      <c r="C4" s="541" t="s">
        <v>754</v>
      </c>
      <c r="D4" s="542" t="s">
        <v>755</v>
      </c>
      <c r="E4" s="536"/>
      <c r="F4" s="536"/>
      <c r="G4" s="536"/>
      <c r="H4" s="541" t="s">
        <v>754</v>
      </c>
      <c r="I4" s="542" t="s">
        <v>755</v>
      </c>
      <c r="J4" s="536"/>
      <c r="K4" s="536"/>
      <c r="L4" s="536"/>
      <c r="M4" s="541" t="s">
        <v>754</v>
      </c>
      <c r="N4" s="542" t="s">
        <v>755</v>
      </c>
      <c r="O4" s="536"/>
      <c r="P4" s="536"/>
      <c r="Q4" s="536"/>
      <c r="R4" s="541" t="s">
        <v>754</v>
      </c>
      <c r="S4" s="542" t="s">
        <v>755</v>
      </c>
      <c r="T4" s="543"/>
      <c r="U4" s="536"/>
      <c r="V4" s="536"/>
      <c r="W4" s="541" t="s">
        <v>754</v>
      </c>
      <c r="X4" s="542" t="s">
        <v>755</v>
      </c>
      <c r="Z4" s="536"/>
      <c r="AA4" s="536"/>
      <c r="AB4" s="541" t="s">
        <v>754</v>
      </c>
      <c r="AC4" s="542" t="s">
        <v>755</v>
      </c>
      <c r="AE4" s="536"/>
      <c r="AF4" s="536"/>
      <c r="AG4" s="541" t="s">
        <v>754</v>
      </c>
      <c r="AH4" s="542" t="s">
        <v>755</v>
      </c>
    </row>
    <row r="5" spans="1:34" s="546" customFormat="1" ht="16">
      <c r="A5" s="544" t="s">
        <v>756</v>
      </c>
      <c r="B5" s="1164" t="s">
        <v>18</v>
      </c>
      <c r="C5" s="1170">
        <v>149.99</v>
      </c>
      <c r="D5" s="1166">
        <f>C5*B8</f>
        <v>1799.88</v>
      </c>
      <c r="E5" s="1169"/>
      <c r="F5" s="544" t="s">
        <v>756</v>
      </c>
      <c r="G5" s="1164" t="s">
        <v>18</v>
      </c>
      <c r="H5" s="1170">
        <v>159.99</v>
      </c>
      <c r="I5" s="1166">
        <f>H5*G8</f>
        <v>1919.88</v>
      </c>
      <c r="J5" s="1169"/>
      <c r="K5" s="544" t="s">
        <v>756</v>
      </c>
      <c r="L5" s="1164" t="s">
        <v>18</v>
      </c>
      <c r="M5" s="1170">
        <v>169.99</v>
      </c>
      <c r="N5" s="1166">
        <f>M5*L8</f>
        <v>2039.88</v>
      </c>
      <c r="O5" s="1168"/>
      <c r="P5" s="544" t="s">
        <v>756</v>
      </c>
      <c r="Q5" s="1164" t="s">
        <v>18</v>
      </c>
      <c r="R5" s="1170">
        <v>169.99</v>
      </c>
      <c r="S5" s="1166">
        <f>R5*Q8</f>
        <v>2039.88</v>
      </c>
      <c r="T5" s="545"/>
      <c r="U5" s="544" t="s">
        <v>756</v>
      </c>
      <c r="V5" s="1164" t="s">
        <v>18</v>
      </c>
      <c r="W5" s="1170">
        <v>169.99</v>
      </c>
      <c r="X5" s="1166">
        <f>W5*V8</f>
        <v>2039.88</v>
      </c>
      <c r="Z5" s="544" t="s">
        <v>756</v>
      </c>
      <c r="AA5" s="1164" t="s">
        <v>18</v>
      </c>
      <c r="AB5" s="1170">
        <v>169.99</v>
      </c>
      <c r="AC5" s="1166">
        <f>AB5*AA8</f>
        <v>2039.88</v>
      </c>
      <c r="AE5" s="544" t="s">
        <v>756</v>
      </c>
      <c r="AF5" s="1164" t="s">
        <v>18</v>
      </c>
      <c r="AG5" s="1170">
        <v>169.99</v>
      </c>
      <c r="AH5" s="1166">
        <f>AG5*AF8</f>
        <v>2039.88</v>
      </c>
    </row>
    <row r="6" spans="1:34" s="546" customFormat="1" ht="16" thickBot="1">
      <c r="A6" s="547" t="s">
        <v>757</v>
      </c>
      <c r="B6" s="1165"/>
      <c r="C6" s="1171"/>
      <c r="D6" s="1167"/>
      <c r="E6" s="1169"/>
      <c r="F6" s="547" t="s">
        <v>757</v>
      </c>
      <c r="G6" s="1165"/>
      <c r="H6" s="1171"/>
      <c r="I6" s="1167"/>
      <c r="J6" s="1169"/>
      <c r="K6" s="547" t="s">
        <v>757</v>
      </c>
      <c r="L6" s="1165"/>
      <c r="M6" s="1171"/>
      <c r="N6" s="1167"/>
      <c r="O6" s="1168"/>
      <c r="P6" s="547" t="s">
        <v>757</v>
      </c>
      <c r="Q6" s="1165"/>
      <c r="R6" s="1171"/>
      <c r="S6" s="1167"/>
      <c r="T6" s="545"/>
      <c r="U6" s="547" t="s">
        <v>757</v>
      </c>
      <c r="V6" s="1165"/>
      <c r="W6" s="1171"/>
      <c r="X6" s="1167"/>
      <c r="Z6" s="547" t="s">
        <v>757</v>
      </c>
      <c r="AA6" s="1165"/>
      <c r="AB6" s="1171"/>
      <c r="AC6" s="1167"/>
      <c r="AE6" s="547" t="s">
        <v>757</v>
      </c>
      <c r="AF6" s="1165"/>
      <c r="AG6" s="1171"/>
      <c r="AH6" s="1167"/>
    </row>
    <row r="7" spans="1:34" ht="16" thickBot="1">
      <c r="A7" s="548" t="s">
        <v>758</v>
      </c>
      <c r="B7" s="549">
        <v>2500</v>
      </c>
      <c r="C7" s="550"/>
      <c r="D7" s="550"/>
      <c r="E7" s="536"/>
      <c r="F7" s="548" t="s">
        <v>758</v>
      </c>
      <c r="G7" s="549">
        <v>2750</v>
      </c>
      <c r="H7" s="550"/>
      <c r="I7" s="550"/>
      <c r="J7" s="536"/>
      <c r="K7" s="548" t="s">
        <v>758</v>
      </c>
      <c r="L7" s="549">
        <v>3000</v>
      </c>
      <c r="M7" s="550"/>
      <c r="N7" s="550"/>
      <c r="O7" s="536"/>
      <c r="P7" s="548" t="s">
        <v>758</v>
      </c>
      <c r="Q7" s="549">
        <v>3000</v>
      </c>
      <c r="R7" s="550"/>
      <c r="S7" s="550"/>
      <c r="T7" s="551"/>
      <c r="U7" s="548" t="s">
        <v>758</v>
      </c>
      <c r="V7" s="549">
        <v>3000</v>
      </c>
      <c r="W7" s="550"/>
      <c r="X7" s="550"/>
      <c r="Z7" s="548" t="s">
        <v>758</v>
      </c>
      <c r="AA7" s="549">
        <v>3000</v>
      </c>
      <c r="AB7" s="550"/>
      <c r="AC7" s="550"/>
      <c r="AE7" s="548" t="s">
        <v>758</v>
      </c>
      <c r="AF7" s="549">
        <v>3000</v>
      </c>
      <c r="AG7" s="550"/>
      <c r="AH7" s="550"/>
    </row>
    <row r="8" spans="1:34" ht="17" thickBot="1">
      <c r="A8" s="552" t="s">
        <v>188</v>
      </c>
      <c r="B8" s="550">
        <v>12</v>
      </c>
      <c r="C8" s="550"/>
      <c r="D8" s="553"/>
      <c r="E8" s="536"/>
      <c r="F8" s="552" t="s">
        <v>188</v>
      </c>
      <c r="G8" s="550">
        <v>12</v>
      </c>
      <c r="H8" s="550"/>
      <c r="I8" s="553"/>
      <c r="J8" s="536"/>
      <c r="K8" s="552" t="s">
        <v>188</v>
      </c>
      <c r="L8" s="550">
        <v>12</v>
      </c>
      <c r="M8" s="550"/>
      <c r="N8" s="553"/>
      <c r="O8" s="536"/>
      <c r="P8" s="552" t="s">
        <v>188</v>
      </c>
      <c r="Q8" s="550">
        <v>12</v>
      </c>
      <c r="R8" s="550"/>
      <c r="S8" s="553"/>
      <c r="T8" s="551"/>
      <c r="U8" s="552" t="s">
        <v>188</v>
      </c>
      <c r="V8" s="550">
        <v>12</v>
      </c>
      <c r="W8" s="550"/>
      <c r="X8" s="553"/>
      <c r="Z8" s="552" t="s">
        <v>188</v>
      </c>
      <c r="AA8" s="550">
        <v>12</v>
      </c>
      <c r="AB8" s="550"/>
      <c r="AC8" s="553"/>
      <c r="AE8" s="552" t="s">
        <v>188</v>
      </c>
      <c r="AF8" s="550">
        <v>12</v>
      </c>
      <c r="AG8" s="550"/>
      <c r="AH8" s="553"/>
    </row>
    <row r="9" spans="1:34" ht="16" thickBot="1">
      <c r="A9" s="548" t="s">
        <v>759</v>
      </c>
      <c r="B9" s="549">
        <f>B7*B8</f>
        <v>30000</v>
      </c>
      <c r="C9" s="554"/>
      <c r="D9" s="555"/>
      <c r="E9" s="536"/>
      <c r="F9" s="548" t="s">
        <v>759</v>
      </c>
      <c r="G9" s="549">
        <f>G7*G8</f>
        <v>33000</v>
      </c>
      <c r="H9" s="554"/>
      <c r="I9" s="555"/>
      <c r="J9" s="536"/>
      <c r="K9" s="548" t="s">
        <v>759</v>
      </c>
      <c r="L9" s="549">
        <f>L7*L8</f>
        <v>36000</v>
      </c>
      <c r="M9" s="554"/>
      <c r="N9" s="555"/>
      <c r="O9" s="536"/>
      <c r="P9" s="548" t="s">
        <v>759</v>
      </c>
      <c r="Q9" s="549">
        <f>Q7*Q8</f>
        <v>36000</v>
      </c>
      <c r="R9" s="554"/>
      <c r="S9" s="555">
        <v>3599760</v>
      </c>
      <c r="T9" s="556"/>
      <c r="U9" s="548" t="s">
        <v>759</v>
      </c>
      <c r="V9" s="549">
        <f>V7*V8</f>
        <v>36000</v>
      </c>
      <c r="W9" s="554"/>
      <c r="X9" s="555"/>
      <c r="Z9" s="548" t="s">
        <v>759</v>
      </c>
      <c r="AA9" s="549">
        <f>AA7*AA8</f>
        <v>36000</v>
      </c>
      <c r="AB9" s="554"/>
      <c r="AC9" s="555"/>
      <c r="AE9" s="548" t="s">
        <v>759</v>
      </c>
      <c r="AF9" s="549">
        <f>AF7*AF8</f>
        <v>36000</v>
      </c>
      <c r="AG9" s="554"/>
      <c r="AH9" s="555"/>
    </row>
    <row r="10" spans="1:34" ht="16" thickBot="1">
      <c r="A10" s="548" t="s">
        <v>192</v>
      </c>
      <c r="B10" s="550">
        <v>20</v>
      </c>
      <c r="C10" s="554"/>
      <c r="D10" s="557"/>
      <c r="E10" s="536"/>
      <c r="F10" s="548" t="s">
        <v>192</v>
      </c>
      <c r="G10" s="550">
        <v>20</v>
      </c>
      <c r="H10" s="554"/>
      <c r="I10" s="557"/>
      <c r="J10" s="536"/>
      <c r="K10" s="548" t="s">
        <v>192</v>
      </c>
      <c r="L10" s="550">
        <v>20</v>
      </c>
      <c r="M10" s="554"/>
      <c r="N10" s="557"/>
      <c r="O10" s="536"/>
      <c r="P10" s="548" t="s">
        <v>192</v>
      </c>
      <c r="Q10" s="550">
        <v>20</v>
      </c>
      <c r="R10" s="554"/>
      <c r="S10" s="557" t="s">
        <v>760</v>
      </c>
      <c r="T10" s="558"/>
      <c r="U10" s="548" t="s">
        <v>192</v>
      </c>
      <c r="V10" s="550">
        <v>20</v>
      </c>
      <c r="W10" s="554"/>
      <c r="X10" s="557"/>
      <c r="Z10" s="548" t="s">
        <v>192</v>
      </c>
      <c r="AA10" s="550">
        <v>20</v>
      </c>
      <c r="AB10" s="554"/>
      <c r="AC10" s="557"/>
      <c r="AE10" s="548" t="s">
        <v>192</v>
      </c>
      <c r="AF10" s="550">
        <v>20</v>
      </c>
      <c r="AG10" s="554"/>
      <c r="AH10" s="557"/>
    </row>
    <row r="11" spans="1:34" ht="16" thickBot="1">
      <c r="A11" s="559" t="s">
        <v>195</v>
      </c>
      <c r="B11" s="550">
        <v>4</v>
      </c>
      <c r="C11" s="550"/>
      <c r="D11" s="550"/>
      <c r="E11" s="536"/>
      <c r="F11" s="559" t="s">
        <v>195</v>
      </c>
      <c r="G11" s="550">
        <v>4</v>
      </c>
      <c r="H11" s="550"/>
      <c r="I11" s="550"/>
      <c r="J11" s="536"/>
      <c r="K11" s="559" t="s">
        <v>195</v>
      </c>
      <c r="L11" s="550">
        <v>4</v>
      </c>
      <c r="M11" s="550"/>
      <c r="N11" s="550"/>
      <c r="O11" s="536"/>
      <c r="P11" s="559" t="s">
        <v>195</v>
      </c>
      <c r="Q11" s="550">
        <v>4</v>
      </c>
      <c r="R11" s="550"/>
      <c r="S11" s="550"/>
      <c r="T11" s="558"/>
      <c r="U11" s="559" t="s">
        <v>195</v>
      </c>
      <c r="V11" s="550">
        <v>4</v>
      </c>
      <c r="W11" s="550"/>
      <c r="X11" s="550"/>
      <c r="Z11" s="559" t="s">
        <v>195</v>
      </c>
      <c r="AA11" s="550">
        <v>4</v>
      </c>
      <c r="AB11" s="550"/>
      <c r="AC11" s="550"/>
      <c r="AE11" s="559" t="s">
        <v>195</v>
      </c>
      <c r="AF11" s="550">
        <v>4</v>
      </c>
      <c r="AG11" s="550"/>
      <c r="AH11" s="550"/>
    </row>
    <row r="12" spans="1:34" ht="16" thickBot="1">
      <c r="A12" s="548" t="s">
        <v>761</v>
      </c>
      <c r="B12" s="549">
        <f>B9*B10</f>
        <v>600000</v>
      </c>
      <c r="C12" s="550"/>
      <c r="D12" s="550"/>
      <c r="E12" s="536"/>
      <c r="F12" s="548" t="s">
        <v>761</v>
      </c>
      <c r="G12" s="549">
        <f>G9*G10</f>
        <v>660000</v>
      </c>
      <c r="H12" s="550"/>
      <c r="I12" s="550"/>
      <c r="J12" s="536"/>
      <c r="K12" s="548" t="s">
        <v>761</v>
      </c>
      <c r="L12" s="549">
        <f>L9*L10</f>
        <v>720000</v>
      </c>
      <c r="M12" s="550"/>
      <c r="N12" s="550"/>
      <c r="O12" s="536"/>
      <c r="P12" s="548" t="s">
        <v>761</v>
      </c>
      <c r="Q12" s="549">
        <f>Q9*Q10</f>
        <v>720000</v>
      </c>
      <c r="R12" s="550"/>
      <c r="S12" s="550"/>
      <c r="T12" s="551"/>
      <c r="U12" s="548" t="s">
        <v>761</v>
      </c>
      <c r="V12" s="549">
        <f>V9*V10</f>
        <v>720000</v>
      </c>
      <c r="W12" s="550"/>
      <c r="X12" s="550"/>
      <c r="Z12" s="548" t="s">
        <v>761</v>
      </c>
      <c r="AA12" s="549">
        <f>AA9*AA10</f>
        <v>720000</v>
      </c>
      <c r="AB12" s="550"/>
      <c r="AC12" s="550"/>
      <c r="AE12" s="548" t="s">
        <v>761</v>
      </c>
      <c r="AF12" s="549">
        <f>AF9*AF10</f>
        <v>720000</v>
      </c>
      <c r="AG12" s="550"/>
      <c r="AH12" s="550"/>
    </row>
    <row r="13" spans="1:34" ht="16" thickBot="1">
      <c r="A13" s="548" t="s">
        <v>762</v>
      </c>
      <c r="B13" s="549">
        <f>B12*B11</f>
        <v>2400000</v>
      </c>
      <c r="C13" s="550"/>
      <c r="D13" s="550"/>
      <c r="E13" s="536"/>
      <c r="F13" s="548" t="s">
        <v>762</v>
      </c>
      <c r="G13" s="549">
        <f>G12*G11</f>
        <v>2640000</v>
      </c>
      <c r="H13" s="550"/>
      <c r="I13" s="550"/>
      <c r="J13" s="536"/>
      <c r="K13" s="548" t="s">
        <v>762</v>
      </c>
      <c r="L13" s="549">
        <f>L12*L11</f>
        <v>2880000</v>
      </c>
      <c r="M13" s="550"/>
      <c r="N13" s="550"/>
      <c r="O13" s="536"/>
      <c r="P13" s="548" t="s">
        <v>762</v>
      </c>
      <c r="Q13" s="549">
        <f>Q12*Q11</f>
        <v>2880000</v>
      </c>
      <c r="R13" s="550"/>
      <c r="S13" s="550"/>
      <c r="T13" s="560"/>
      <c r="U13" s="548" t="s">
        <v>762</v>
      </c>
      <c r="V13" s="549">
        <f>V12*V11</f>
        <v>2880000</v>
      </c>
      <c r="W13" s="550"/>
      <c r="X13" s="550"/>
      <c r="Z13" s="548" t="s">
        <v>762</v>
      </c>
      <c r="AA13" s="549">
        <f>AA12*AA11</f>
        <v>2880000</v>
      </c>
      <c r="AB13" s="550"/>
      <c r="AC13" s="550"/>
      <c r="AE13" s="548" t="s">
        <v>762</v>
      </c>
      <c r="AF13" s="549">
        <f>AF12*AF11</f>
        <v>2880000</v>
      </c>
      <c r="AG13" s="550"/>
      <c r="AH13" s="550"/>
    </row>
    <row r="14" spans="1:34" ht="16" thickBot="1">
      <c r="A14" s="548" t="s">
        <v>763</v>
      </c>
      <c r="B14" s="561">
        <f>C18/B13</f>
        <v>1.1249270833333334</v>
      </c>
      <c r="C14" s="550"/>
      <c r="D14" s="562"/>
      <c r="E14" s="536"/>
      <c r="F14" s="548" t="s">
        <v>763</v>
      </c>
      <c r="G14" s="561">
        <f>H18/G13</f>
        <v>1.1999270833333333</v>
      </c>
      <c r="H14" s="550"/>
      <c r="I14" s="562"/>
      <c r="J14" s="536"/>
      <c r="K14" s="548" t="s">
        <v>763</v>
      </c>
      <c r="L14" s="561">
        <f>M18/L13</f>
        <v>1.2749270833333333</v>
      </c>
      <c r="M14" s="550"/>
      <c r="N14" s="562"/>
      <c r="O14" s="536"/>
      <c r="P14" s="548" t="s">
        <v>763</v>
      </c>
      <c r="Q14" s="561">
        <f>R18/Q13</f>
        <v>1.2749270833333333</v>
      </c>
      <c r="R14" s="550"/>
      <c r="S14" s="562">
        <v>2.08</v>
      </c>
      <c r="T14" s="551"/>
      <c r="U14" s="548" t="s">
        <v>763</v>
      </c>
      <c r="V14" s="561">
        <f>W18/V13</f>
        <v>1.2749270833333333</v>
      </c>
      <c r="W14" s="550"/>
      <c r="X14" s="562"/>
      <c r="Z14" s="548" t="s">
        <v>763</v>
      </c>
      <c r="AA14" s="561">
        <f>AB18/AA13</f>
        <v>1.2749270833333333</v>
      </c>
      <c r="AB14" s="550"/>
      <c r="AC14" s="562"/>
      <c r="AE14" s="548" t="s">
        <v>763</v>
      </c>
      <c r="AF14" s="561">
        <f>AG18/AF13</f>
        <v>1.2749270833333333</v>
      </c>
      <c r="AG14" s="550"/>
      <c r="AH14" s="562"/>
    </row>
    <row r="15" spans="1:34" ht="16" thickBot="1">
      <c r="A15" s="563"/>
      <c r="B15" s="564" t="s">
        <v>250</v>
      </c>
      <c r="C15" s="564" t="s">
        <v>764</v>
      </c>
      <c r="D15" s="564" t="s">
        <v>18</v>
      </c>
      <c r="E15" s="536"/>
      <c r="F15" s="563"/>
      <c r="G15" s="564" t="s">
        <v>250</v>
      </c>
      <c r="H15" s="564" t="s">
        <v>764</v>
      </c>
      <c r="I15" s="564" t="s">
        <v>18</v>
      </c>
      <c r="J15" s="536"/>
      <c r="K15" s="563"/>
      <c r="L15" s="564" t="s">
        <v>250</v>
      </c>
      <c r="M15" s="564" t="s">
        <v>764</v>
      </c>
      <c r="N15" s="564" t="s">
        <v>18</v>
      </c>
      <c r="O15" s="536"/>
      <c r="P15" s="563"/>
      <c r="Q15" s="564" t="s">
        <v>250</v>
      </c>
      <c r="R15" s="564" t="s">
        <v>764</v>
      </c>
      <c r="S15" s="564" t="s">
        <v>18</v>
      </c>
      <c r="T15" s="551"/>
      <c r="U15" s="563"/>
      <c r="V15" s="564" t="s">
        <v>250</v>
      </c>
      <c r="W15" s="564" t="s">
        <v>764</v>
      </c>
      <c r="X15" s="564" t="s">
        <v>18</v>
      </c>
      <c r="Z15" s="563"/>
      <c r="AA15" s="564" t="s">
        <v>250</v>
      </c>
      <c r="AB15" s="564" t="s">
        <v>764</v>
      </c>
      <c r="AC15" s="564" t="s">
        <v>18</v>
      </c>
      <c r="AE15" s="563"/>
      <c r="AF15" s="564" t="s">
        <v>250</v>
      </c>
      <c r="AG15" s="564" t="s">
        <v>764</v>
      </c>
      <c r="AH15" s="564" t="s">
        <v>18</v>
      </c>
    </row>
    <row r="16" spans="1:34" ht="16" thickBot="1">
      <c r="A16" s="565" t="s">
        <v>765</v>
      </c>
      <c r="B16" s="566">
        <f>ROUND(C16*$B$87,2)</f>
        <v>36</v>
      </c>
      <c r="C16" s="567">
        <f>ROUND(D16*'Model Assumptions'!$D$30,2)</f>
        <v>89.99</v>
      </c>
      <c r="D16" s="567">
        <f>C5</f>
        <v>149.99</v>
      </c>
      <c r="E16" s="536"/>
      <c r="F16" s="565" t="s">
        <v>765</v>
      </c>
      <c r="G16" s="566">
        <f>ROUND(H16*$B$87,2)</f>
        <v>38.4</v>
      </c>
      <c r="H16" s="567">
        <f>ROUND(I16*'Model Assumptions'!$D$30,2)</f>
        <v>95.99</v>
      </c>
      <c r="I16" s="567">
        <f>H5</f>
        <v>159.99</v>
      </c>
      <c r="J16" s="536"/>
      <c r="K16" s="565" t="s">
        <v>765</v>
      </c>
      <c r="L16" s="566">
        <f>ROUND(M16*$B$87,2)</f>
        <v>40.799999999999997</v>
      </c>
      <c r="M16" s="567">
        <f>ROUND(N16*'Model Assumptions'!$D$30,2)</f>
        <v>101.99</v>
      </c>
      <c r="N16" s="567">
        <f>M5</f>
        <v>169.99</v>
      </c>
      <c r="O16" s="536"/>
      <c r="P16" s="565" t="s">
        <v>765</v>
      </c>
      <c r="Q16" s="566">
        <f>ROUND(R16*$B$87,2)</f>
        <v>40.799999999999997</v>
      </c>
      <c r="R16" s="567">
        <f>ROUND(S16*'Model Assumptions'!$D$30,2)</f>
        <v>101.99</v>
      </c>
      <c r="S16" s="567">
        <f>R5</f>
        <v>169.99</v>
      </c>
      <c r="T16" s="551"/>
      <c r="U16" s="565" t="s">
        <v>765</v>
      </c>
      <c r="V16" s="566">
        <f>ROUND(W16*$B$87,2)</f>
        <v>40.799999999999997</v>
      </c>
      <c r="W16" s="567">
        <f>ROUND(X16*'Model Assumptions'!$D$30,2)</f>
        <v>101.99</v>
      </c>
      <c r="X16" s="567">
        <f>W5</f>
        <v>169.99</v>
      </c>
      <c r="Z16" s="565" t="s">
        <v>765</v>
      </c>
      <c r="AA16" s="566">
        <f>ROUND(AB16*$B$87,2)</f>
        <v>40.799999999999997</v>
      </c>
      <c r="AB16" s="567">
        <f>ROUND(AC16*'Model Assumptions'!$D$30,2)</f>
        <v>101.99</v>
      </c>
      <c r="AC16" s="567">
        <f>AB5</f>
        <v>169.99</v>
      </c>
      <c r="AE16" s="565" t="s">
        <v>765</v>
      </c>
      <c r="AF16" s="566">
        <f>ROUND(AG16*$B$87,2)</f>
        <v>40.799999999999997</v>
      </c>
      <c r="AG16" s="567">
        <f>ROUND(AH16*'Model Assumptions'!$D$30,2)</f>
        <v>101.99</v>
      </c>
      <c r="AH16" s="567">
        <f>AG5</f>
        <v>169.99</v>
      </c>
    </row>
    <row r="17" spans="1:34" ht="16" thickBot="1">
      <c r="A17" s="565" t="s">
        <v>766</v>
      </c>
      <c r="B17" s="566">
        <f>ROUND(C17*$B$87,2)</f>
        <v>431.97</v>
      </c>
      <c r="C17" s="568">
        <f>ROUND(D17*'Model Assumptions'!$D$30,2)</f>
        <v>1079.93</v>
      </c>
      <c r="D17" s="568">
        <f>ROUND(D16*B8,2)</f>
        <v>1799.88</v>
      </c>
      <c r="E17" s="536"/>
      <c r="F17" s="565" t="s">
        <v>766</v>
      </c>
      <c r="G17" s="566">
        <f>ROUND(H17*$B$87,2)</f>
        <v>460.77</v>
      </c>
      <c r="H17" s="568">
        <f>ROUND(I17*'Model Assumptions'!$D$30,2)</f>
        <v>1151.93</v>
      </c>
      <c r="I17" s="568">
        <f>ROUND(I16*G8,2)</f>
        <v>1919.88</v>
      </c>
      <c r="J17" s="536"/>
      <c r="K17" s="565" t="s">
        <v>766</v>
      </c>
      <c r="L17" s="566">
        <f>ROUND(M17*$B$87,2)</f>
        <v>489.57</v>
      </c>
      <c r="M17" s="568">
        <f>ROUND(N17*'Model Assumptions'!$D$30,2)</f>
        <v>1223.93</v>
      </c>
      <c r="N17" s="568">
        <f>ROUND(N16*L8,2)</f>
        <v>2039.88</v>
      </c>
      <c r="O17" s="536"/>
      <c r="P17" s="565" t="s">
        <v>766</v>
      </c>
      <c r="Q17" s="566">
        <f>ROUND(R17*$B$87,2)</f>
        <v>489.57</v>
      </c>
      <c r="R17" s="568">
        <f>ROUND(S17*'Model Assumptions'!$D$30,2)</f>
        <v>1223.93</v>
      </c>
      <c r="S17" s="568">
        <f>ROUND(S16*Q8,2)</f>
        <v>2039.88</v>
      </c>
      <c r="T17" s="551"/>
      <c r="U17" s="565" t="s">
        <v>766</v>
      </c>
      <c r="V17" s="566">
        <f>ROUND(W17*$B$87,2)</f>
        <v>489.57</v>
      </c>
      <c r="W17" s="568">
        <f>ROUND(X17*'Model Assumptions'!$D$30,2)</f>
        <v>1223.93</v>
      </c>
      <c r="X17" s="568">
        <f>ROUND(X16*V8,2)</f>
        <v>2039.88</v>
      </c>
      <c r="Z17" s="565" t="s">
        <v>766</v>
      </c>
      <c r="AA17" s="566">
        <f>ROUND(AB17*$B$87,2)</f>
        <v>489.57</v>
      </c>
      <c r="AB17" s="568">
        <f>ROUND(AC17*'Model Assumptions'!$D$30,2)</f>
        <v>1223.93</v>
      </c>
      <c r="AC17" s="568">
        <f>ROUND(AC16*AA8,2)</f>
        <v>2039.88</v>
      </c>
      <c r="AE17" s="565" t="s">
        <v>766</v>
      </c>
      <c r="AF17" s="566">
        <f>ROUND(AG17*$B$87,2)</f>
        <v>489.57</v>
      </c>
      <c r="AG17" s="568">
        <f>ROUND(AH17*'Model Assumptions'!$D$30,2)</f>
        <v>1223.93</v>
      </c>
      <c r="AH17" s="568">
        <f>ROUND(AH16*AF8,2)</f>
        <v>2039.88</v>
      </c>
    </row>
    <row r="18" spans="1:34" ht="16" thickBot="1">
      <c r="A18" s="565" t="s">
        <v>767</v>
      </c>
      <c r="B18" s="566">
        <f>ROUND(B17*$B$7,2)</f>
        <v>1079925</v>
      </c>
      <c r="C18" s="568">
        <f>ROUND(C17*$B$7,2)</f>
        <v>2699825</v>
      </c>
      <c r="D18" s="568">
        <f>ROUND(D17*B7,2)</f>
        <v>4499700</v>
      </c>
      <c r="E18" s="536"/>
      <c r="F18" s="565" t="s">
        <v>767</v>
      </c>
      <c r="G18" s="566">
        <f>ROUND(G17*G7,2)</f>
        <v>1267117.5</v>
      </c>
      <c r="H18" s="568">
        <f>ROUND(H17*G7,2)</f>
        <v>3167807.5</v>
      </c>
      <c r="I18" s="568">
        <f>ROUND(I17*G7,2)</f>
        <v>5279670</v>
      </c>
      <c r="J18" s="536"/>
      <c r="K18" s="565" t="s">
        <v>767</v>
      </c>
      <c r="L18" s="566">
        <f>ROUND(L17*L7,2)</f>
        <v>1468710</v>
      </c>
      <c r="M18" s="568">
        <f>ROUND(M17*L7,2)</f>
        <v>3671790</v>
      </c>
      <c r="N18" s="568">
        <f>ROUND(N17*L7,2)</f>
        <v>6119640</v>
      </c>
      <c r="O18" s="536"/>
      <c r="P18" s="565" t="s">
        <v>767</v>
      </c>
      <c r="Q18" s="566">
        <f>ROUND(Q17*Q7,2)</f>
        <v>1468710</v>
      </c>
      <c r="R18" s="568">
        <f>ROUND(R17*Q7,2)</f>
        <v>3671790</v>
      </c>
      <c r="S18" s="568">
        <f>ROUND(S17*Q7,2)</f>
        <v>6119640</v>
      </c>
      <c r="T18" s="551"/>
      <c r="U18" s="565" t="s">
        <v>767</v>
      </c>
      <c r="V18" s="566">
        <f>ROUND(V17*V7,2)</f>
        <v>1468710</v>
      </c>
      <c r="W18" s="568">
        <f>ROUND(W17*V7,2)</f>
        <v>3671790</v>
      </c>
      <c r="X18" s="568">
        <f>ROUND(X17*V7,2)</f>
        <v>6119640</v>
      </c>
      <c r="Z18" s="565" t="s">
        <v>767</v>
      </c>
      <c r="AA18" s="566">
        <f>ROUND(AA17*AA7,2)</f>
        <v>1468710</v>
      </c>
      <c r="AB18" s="568">
        <f>ROUND(AB17*AA7,2)</f>
        <v>3671790</v>
      </c>
      <c r="AC18" s="568">
        <f>ROUND(AC17*AA7,2)</f>
        <v>6119640</v>
      </c>
      <c r="AE18" s="565" t="s">
        <v>767</v>
      </c>
      <c r="AF18" s="566">
        <f>ROUND(AF17*AF7,2)</f>
        <v>1468710</v>
      </c>
      <c r="AG18" s="568">
        <f>ROUND(AG17*AF7,2)</f>
        <v>3671790</v>
      </c>
      <c r="AH18" s="568">
        <f>ROUND(AH17*AF7,2)</f>
        <v>6119640</v>
      </c>
    </row>
    <row r="19" spans="1:34" ht="16" thickBot="1">
      <c r="A19" s="536"/>
      <c r="B19" s="536"/>
      <c r="C19" s="536"/>
      <c r="D19" s="536"/>
      <c r="E19" s="536"/>
      <c r="F19" s="536"/>
      <c r="G19" s="536"/>
      <c r="H19" s="536"/>
      <c r="I19" s="536"/>
      <c r="J19" s="536"/>
      <c r="K19" s="536"/>
      <c r="L19" s="536"/>
      <c r="M19" s="536"/>
      <c r="N19" s="536"/>
      <c r="O19" s="536"/>
      <c r="P19" s="536"/>
      <c r="Q19" s="536"/>
      <c r="R19" s="536"/>
      <c r="S19" s="536"/>
      <c r="T19" s="551"/>
      <c r="U19" s="536"/>
      <c r="V19" s="536"/>
      <c r="W19" s="536"/>
      <c r="X19" s="536"/>
      <c r="Z19" s="536"/>
      <c r="AA19" s="536"/>
      <c r="AB19" s="536"/>
      <c r="AC19" s="536"/>
      <c r="AE19" s="536"/>
      <c r="AF19" s="536"/>
      <c r="AG19" s="536"/>
      <c r="AH19" s="536"/>
    </row>
    <row r="20" spans="1:34" ht="16" thickBot="1">
      <c r="A20" s="536"/>
      <c r="B20" s="536"/>
      <c r="C20" s="541" t="s">
        <v>754</v>
      </c>
      <c r="D20" s="542" t="s">
        <v>755</v>
      </c>
      <c r="E20" s="536"/>
      <c r="F20" s="536"/>
      <c r="G20" s="536"/>
      <c r="H20" s="541" t="s">
        <v>754</v>
      </c>
      <c r="I20" s="542" t="s">
        <v>755</v>
      </c>
      <c r="J20" s="536"/>
      <c r="K20" s="536"/>
      <c r="L20" s="536"/>
      <c r="M20" s="541" t="s">
        <v>754</v>
      </c>
      <c r="N20" s="542" t="s">
        <v>755</v>
      </c>
      <c r="O20" s="536"/>
      <c r="P20" s="536"/>
      <c r="Q20" s="536"/>
      <c r="R20" s="541" t="s">
        <v>754</v>
      </c>
      <c r="S20" s="542" t="s">
        <v>755</v>
      </c>
      <c r="T20" s="551"/>
      <c r="U20" s="536"/>
      <c r="V20" s="536"/>
      <c r="W20" s="541" t="s">
        <v>754</v>
      </c>
      <c r="X20" s="542" t="s">
        <v>755</v>
      </c>
      <c r="Z20" s="536"/>
      <c r="AA20" s="536"/>
      <c r="AB20" s="541" t="s">
        <v>754</v>
      </c>
      <c r="AC20" s="542" t="s">
        <v>755</v>
      </c>
      <c r="AE20" s="536"/>
      <c r="AF20" s="536"/>
      <c r="AG20" s="541" t="s">
        <v>754</v>
      </c>
      <c r="AH20" s="542" t="s">
        <v>755</v>
      </c>
    </row>
    <row r="21" spans="1:34" s="546" customFormat="1" ht="16">
      <c r="A21" s="544" t="s">
        <v>853</v>
      </c>
      <c r="B21" s="1164" t="s">
        <v>18</v>
      </c>
      <c r="C21" s="1170">
        <v>49.99</v>
      </c>
      <c r="D21" s="1166">
        <f>C21*B24</f>
        <v>999.80000000000007</v>
      </c>
      <c r="E21" s="1169"/>
      <c r="F21" s="544" t="s">
        <v>853</v>
      </c>
      <c r="G21" s="1164" t="s">
        <v>18</v>
      </c>
      <c r="H21" s="1170">
        <v>49.99</v>
      </c>
      <c r="I21" s="1166">
        <f>H21*G24</f>
        <v>999.80000000000007</v>
      </c>
      <c r="J21" s="1169"/>
      <c r="K21" s="544" t="s">
        <v>853</v>
      </c>
      <c r="L21" s="1164" t="s">
        <v>18</v>
      </c>
      <c r="M21" s="1170">
        <v>49.99</v>
      </c>
      <c r="N21" s="1166">
        <f>M21*L24</f>
        <v>999.80000000000007</v>
      </c>
      <c r="O21" s="1168"/>
      <c r="P21" s="544" t="s">
        <v>853</v>
      </c>
      <c r="Q21" s="1164" t="s">
        <v>18</v>
      </c>
      <c r="R21" s="1170">
        <v>49.99</v>
      </c>
      <c r="S21" s="1166">
        <f>R21*Q24</f>
        <v>999.80000000000007</v>
      </c>
      <c r="T21" s="569"/>
      <c r="U21" s="544" t="s">
        <v>853</v>
      </c>
      <c r="V21" s="1164" t="s">
        <v>18</v>
      </c>
      <c r="W21" s="1170">
        <v>49.99</v>
      </c>
      <c r="X21" s="1166">
        <f>W21*V24</f>
        <v>999.80000000000007</v>
      </c>
      <c r="Z21" s="544" t="s">
        <v>853</v>
      </c>
      <c r="AA21" s="1164" t="s">
        <v>18</v>
      </c>
      <c r="AB21" s="1170">
        <v>49.99</v>
      </c>
      <c r="AC21" s="1166">
        <f>AB21*AA24</f>
        <v>999.80000000000007</v>
      </c>
      <c r="AE21" s="544" t="s">
        <v>853</v>
      </c>
      <c r="AF21" s="1164" t="s">
        <v>18</v>
      </c>
      <c r="AG21" s="1170">
        <v>49.99</v>
      </c>
      <c r="AH21" s="1166">
        <f>AG21*AF24</f>
        <v>999.80000000000007</v>
      </c>
    </row>
    <row r="22" spans="1:34" s="546" customFormat="1" ht="16" thickBot="1">
      <c r="A22" s="547" t="s">
        <v>854</v>
      </c>
      <c r="B22" s="1165"/>
      <c r="C22" s="1171"/>
      <c r="D22" s="1167"/>
      <c r="E22" s="1169"/>
      <c r="F22" s="547" t="s">
        <v>854</v>
      </c>
      <c r="G22" s="1165"/>
      <c r="H22" s="1171"/>
      <c r="I22" s="1167"/>
      <c r="J22" s="1169"/>
      <c r="K22" s="547" t="s">
        <v>854</v>
      </c>
      <c r="L22" s="1165"/>
      <c r="M22" s="1171"/>
      <c r="N22" s="1167"/>
      <c r="O22" s="1168"/>
      <c r="P22" s="547" t="s">
        <v>854</v>
      </c>
      <c r="Q22" s="1165"/>
      <c r="R22" s="1171"/>
      <c r="S22" s="1167"/>
      <c r="T22" s="569"/>
      <c r="U22" s="547" t="s">
        <v>854</v>
      </c>
      <c r="V22" s="1165"/>
      <c r="W22" s="1171"/>
      <c r="X22" s="1167"/>
      <c r="Z22" s="547" t="s">
        <v>854</v>
      </c>
      <c r="AA22" s="1165"/>
      <c r="AB22" s="1171"/>
      <c r="AC22" s="1167"/>
      <c r="AE22" s="547" t="s">
        <v>854</v>
      </c>
      <c r="AF22" s="1165"/>
      <c r="AG22" s="1171"/>
      <c r="AH22" s="1167"/>
    </row>
    <row r="23" spans="1:34" ht="16" thickBot="1">
      <c r="A23" s="548" t="s">
        <v>758</v>
      </c>
      <c r="B23" s="549">
        <v>500</v>
      </c>
      <c r="C23" s="550"/>
      <c r="D23" s="550"/>
      <c r="E23" s="536"/>
      <c r="F23" s="548" t="s">
        <v>758</v>
      </c>
      <c r="G23" s="549">
        <v>750</v>
      </c>
      <c r="H23" s="550"/>
      <c r="I23" s="550"/>
      <c r="J23" s="536"/>
      <c r="K23" s="548" t="s">
        <v>758</v>
      </c>
      <c r="L23" s="549">
        <v>1000</v>
      </c>
      <c r="M23" s="550"/>
      <c r="N23" s="550"/>
      <c r="O23" s="536"/>
      <c r="P23" s="548" t="s">
        <v>758</v>
      </c>
      <c r="Q23" s="549">
        <v>1000</v>
      </c>
      <c r="R23" s="550"/>
      <c r="S23" s="550"/>
      <c r="T23" s="551"/>
      <c r="U23" s="548" t="s">
        <v>758</v>
      </c>
      <c r="V23" s="549">
        <v>1000</v>
      </c>
      <c r="W23" s="550"/>
      <c r="X23" s="550"/>
      <c r="Z23" s="548" t="s">
        <v>758</v>
      </c>
      <c r="AA23" s="549">
        <v>1000</v>
      </c>
      <c r="AB23" s="550"/>
      <c r="AC23" s="550"/>
      <c r="AE23" s="548" t="s">
        <v>758</v>
      </c>
      <c r="AF23" s="549">
        <v>1000</v>
      </c>
      <c r="AG23" s="550"/>
      <c r="AH23" s="550"/>
    </row>
    <row r="24" spans="1:34" ht="17" thickBot="1">
      <c r="A24" s="552" t="s">
        <v>188</v>
      </c>
      <c r="B24" s="550">
        <v>20</v>
      </c>
      <c r="C24" s="550"/>
      <c r="D24" s="553"/>
      <c r="E24" s="536"/>
      <c r="F24" s="552" t="s">
        <v>188</v>
      </c>
      <c r="G24" s="550">
        <v>20</v>
      </c>
      <c r="H24" s="550"/>
      <c r="I24" s="553"/>
      <c r="J24" s="536"/>
      <c r="K24" s="552" t="s">
        <v>188</v>
      </c>
      <c r="L24" s="550">
        <v>20</v>
      </c>
      <c r="M24" s="550"/>
      <c r="N24" s="553"/>
      <c r="O24" s="536"/>
      <c r="P24" s="552" t="s">
        <v>188</v>
      </c>
      <c r="Q24" s="550">
        <v>20</v>
      </c>
      <c r="R24" s="550"/>
      <c r="S24" s="553"/>
      <c r="T24" s="551"/>
      <c r="U24" s="552" t="s">
        <v>188</v>
      </c>
      <c r="V24" s="550">
        <v>20</v>
      </c>
      <c r="W24" s="550"/>
      <c r="X24" s="553"/>
      <c r="Z24" s="552" t="s">
        <v>188</v>
      </c>
      <c r="AA24" s="550">
        <v>20</v>
      </c>
      <c r="AB24" s="550"/>
      <c r="AC24" s="553"/>
      <c r="AE24" s="552" t="s">
        <v>188</v>
      </c>
      <c r="AF24" s="550">
        <v>20</v>
      </c>
      <c r="AG24" s="550"/>
      <c r="AH24" s="553"/>
    </row>
    <row r="25" spans="1:34" ht="16" thickBot="1">
      <c r="A25" s="548" t="s">
        <v>759</v>
      </c>
      <c r="B25" s="549">
        <f>B23*B24</f>
        <v>10000</v>
      </c>
      <c r="C25" s="554"/>
      <c r="D25" s="555"/>
      <c r="E25" s="536"/>
      <c r="F25" s="548" t="s">
        <v>759</v>
      </c>
      <c r="G25" s="549">
        <f>G23*G24</f>
        <v>15000</v>
      </c>
      <c r="H25" s="554"/>
      <c r="I25" s="555"/>
      <c r="J25" s="536"/>
      <c r="K25" s="548" t="s">
        <v>759</v>
      </c>
      <c r="L25" s="549">
        <f>L23*L24</f>
        <v>20000</v>
      </c>
      <c r="M25" s="554"/>
      <c r="N25" s="555"/>
      <c r="O25" s="536"/>
      <c r="P25" s="548" t="s">
        <v>759</v>
      </c>
      <c r="Q25" s="549">
        <f>Q23*Q24</f>
        <v>20000</v>
      </c>
      <c r="R25" s="554"/>
      <c r="S25" s="555"/>
      <c r="T25" s="551"/>
      <c r="U25" s="548" t="s">
        <v>759</v>
      </c>
      <c r="V25" s="549">
        <f>V23*V24</f>
        <v>20000</v>
      </c>
      <c r="W25" s="554"/>
      <c r="X25" s="555"/>
      <c r="Z25" s="548" t="s">
        <v>759</v>
      </c>
      <c r="AA25" s="549">
        <f>AA23*AA24</f>
        <v>20000</v>
      </c>
      <c r="AB25" s="554"/>
      <c r="AC25" s="555"/>
      <c r="AE25" s="548" t="s">
        <v>759</v>
      </c>
      <c r="AF25" s="549">
        <f>AF23*AF24</f>
        <v>20000</v>
      </c>
      <c r="AG25" s="554"/>
      <c r="AH25" s="555"/>
    </row>
    <row r="26" spans="1:34" ht="16" thickBot="1">
      <c r="A26" s="548" t="s">
        <v>192</v>
      </c>
      <c r="B26" s="550">
        <v>8</v>
      </c>
      <c r="C26" s="554"/>
      <c r="D26" s="557"/>
      <c r="E26" s="536"/>
      <c r="F26" s="548" t="s">
        <v>192</v>
      </c>
      <c r="G26" s="550">
        <v>8</v>
      </c>
      <c r="H26" s="554"/>
      <c r="I26" s="557"/>
      <c r="J26" s="536"/>
      <c r="K26" s="548" t="s">
        <v>192</v>
      </c>
      <c r="L26" s="550">
        <v>8</v>
      </c>
      <c r="M26" s="554"/>
      <c r="N26" s="557"/>
      <c r="O26" s="536"/>
      <c r="P26" s="548" t="s">
        <v>192</v>
      </c>
      <c r="Q26" s="550">
        <v>8</v>
      </c>
      <c r="R26" s="554"/>
      <c r="S26" s="557"/>
      <c r="U26" s="548" t="s">
        <v>192</v>
      </c>
      <c r="V26" s="550">
        <v>8</v>
      </c>
      <c r="W26" s="554"/>
      <c r="X26" s="557"/>
      <c r="Z26" s="548" t="s">
        <v>192</v>
      </c>
      <c r="AA26" s="550">
        <v>8</v>
      </c>
      <c r="AB26" s="554"/>
      <c r="AC26" s="557"/>
      <c r="AE26" s="548" t="s">
        <v>192</v>
      </c>
      <c r="AF26" s="550">
        <v>8</v>
      </c>
      <c r="AG26" s="554"/>
      <c r="AH26" s="557"/>
    </row>
    <row r="27" spans="1:34" ht="16" thickBot="1">
      <c r="A27" s="559" t="s">
        <v>195</v>
      </c>
      <c r="B27" s="550">
        <v>4</v>
      </c>
      <c r="C27" s="550"/>
      <c r="D27" s="550"/>
      <c r="E27" s="536"/>
      <c r="F27" s="559" t="s">
        <v>195</v>
      </c>
      <c r="G27" s="550">
        <v>4</v>
      </c>
      <c r="H27" s="550"/>
      <c r="I27" s="550"/>
      <c r="J27" s="536"/>
      <c r="K27" s="559" t="s">
        <v>195</v>
      </c>
      <c r="L27" s="550">
        <v>4</v>
      </c>
      <c r="M27" s="550"/>
      <c r="N27" s="550"/>
      <c r="O27" s="536"/>
      <c r="P27" s="559" t="s">
        <v>195</v>
      </c>
      <c r="Q27" s="550">
        <v>4</v>
      </c>
      <c r="R27" s="550"/>
      <c r="S27" s="550"/>
      <c r="U27" s="559" t="s">
        <v>195</v>
      </c>
      <c r="V27" s="550">
        <v>4</v>
      </c>
      <c r="W27" s="550"/>
      <c r="X27" s="550"/>
      <c r="Z27" s="559" t="s">
        <v>195</v>
      </c>
      <c r="AA27" s="550">
        <v>4</v>
      </c>
      <c r="AB27" s="550"/>
      <c r="AC27" s="550"/>
      <c r="AE27" s="559" t="s">
        <v>195</v>
      </c>
      <c r="AF27" s="550">
        <v>4</v>
      </c>
      <c r="AG27" s="550"/>
      <c r="AH27" s="550"/>
    </row>
    <row r="28" spans="1:34" ht="16" thickBot="1">
      <c r="A28" s="548" t="s">
        <v>761</v>
      </c>
      <c r="B28" s="549">
        <f>B25*B26</f>
        <v>80000</v>
      </c>
      <c r="C28" s="550"/>
      <c r="D28" s="550"/>
      <c r="E28" s="536"/>
      <c r="F28" s="548" t="s">
        <v>761</v>
      </c>
      <c r="G28" s="549">
        <f>G25*G26</f>
        <v>120000</v>
      </c>
      <c r="H28" s="550"/>
      <c r="I28" s="550"/>
      <c r="J28" s="536"/>
      <c r="K28" s="548" t="s">
        <v>761</v>
      </c>
      <c r="L28" s="549">
        <f>L25*L26</f>
        <v>160000</v>
      </c>
      <c r="M28" s="550"/>
      <c r="N28" s="550"/>
      <c r="O28" s="536"/>
      <c r="P28" s="548" t="s">
        <v>761</v>
      </c>
      <c r="Q28" s="549">
        <f>Q25*Q26</f>
        <v>160000</v>
      </c>
      <c r="R28" s="550"/>
      <c r="S28" s="550"/>
      <c r="U28" s="548" t="s">
        <v>761</v>
      </c>
      <c r="V28" s="549">
        <f>V25*V26</f>
        <v>160000</v>
      </c>
      <c r="W28" s="550"/>
      <c r="X28" s="550"/>
      <c r="Z28" s="548" t="s">
        <v>761</v>
      </c>
      <c r="AA28" s="549">
        <f>AA25*AA26</f>
        <v>160000</v>
      </c>
      <c r="AB28" s="550"/>
      <c r="AC28" s="550"/>
      <c r="AE28" s="548" t="s">
        <v>761</v>
      </c>
      <c r="AF28" s="549">
        <f>AF25*AF26</f>
        <v>160000</v>
      </c>
      <c r="AG28" s="550"/>
      <c r="AH28" s="550"/>
    </row>
    <row r="29" spans="1:34" ht="16" thickBot="1">
      <c r="A29" s="548" t="s">
        <v>762</v>
      </c>
      <c r="B29" s="549">
        <f>B28*B27</f>
        <v>320000</v>
      </c>
      <c r="C29" s="550"/>
      <c r="D29" s="550"/>
      <c r="E29" s="536"/>
      <c r="F29" s="548" t="s">
        <v>762</v>
      </c>
      <c r="G29" s="549">
        <f>G28*G27</f>
        <v>480000</v>
      </c>
      <c r="H29" s="550"/>
      <c r="I29" s="550"/>
      <c r="J29" s="536"/>
      <c r="K29" s="548" t="s">
        <v>762</v>
      </c>
      <c r="L29" s="549">
        <f>L28*L27</f>
        <v>640000</v>
      </c>
      <c r="M29" s="550"/>
      <c r="N29" s="550"/>
      <c r="O29" s="536"/>
      <c r="P29" s="548" t="s">
        <v>762</v>
      </c>
      <c r="Q29" s="549">
        <f>Q28*Q27</f>
        <v>640000</v>
      </c>
      <c r="R29" s="550"/>
      <c r="S29" s="550"/>
      <c r="U29" s="548" t="s">
        <v>762</v>
      </c>
      <c r="V29" s="549">
        <f>V28*V27</f>
        <v>640000</v>
      </c>
      <c r="W29" s="550"/>
      <c r="X29" s="550"/>
      <c r="Z29" s="548" t="s">
        <v>762</v>
      </c>
      <c r="AA29" s="549">
        <f>AA28*AA27</f>
        <v>640000</v>
      </c>
      <c r="AB29" s="550"/>
      <c r="AC29" s="550"/>
      <c r="AE29" s="548" t="s">
        <v>762</v>
      </c>
      <c r="AF29" s="549">
        <f>AF28*AF27</f>
        <v>640000</v>
      </c>
      <c r="AG29" s="550"/>
      <c r="AH29" s="550"/>
    </row>
    <row r="30" spans="1:34" ht="16" thickBot="1">
      <c r="A30" s="548" t="s">
        <v>763</v>
      </c>
      <c r="B30" s="561">
        <f>C34/B29</f>
        <v>0.78109375000000003</v>
      </c>
      <c r="C30" s="550"/>
      <c r="D30" s="562"/>
      <c r="E30" s="536"/>
      <c r="F30" s="548" t="s">
        <v>763</v>
      </c>
      <c r="G30" s="561">
        <f>H34/G29</f>
        <v>0.78109375000000003</v>
      </c>
      <c r="H30" s="550"/>
      <c r="I30" s="562"/>
      <c r="J30" s="536"/>
      <c r="K30" s="548" t="s">
        <v>763</v>
      </c>
      <c r="L30" s="561">
        <f>M34/L29</f>
        <v>0.78109375000000003</v>
      </c>
      <c r="M30" s="550"/>
      <c r="N30" s="562"/>
      <c r="O30" s="536"/>
      <c r="P30" s="548" t="s">
        <v>763</v>
      </c>
      <c r="Q30" s="561">
        <f>R34/Q29</f>
        <v>0.78109375000000003</v>
      </c>
      <c r="R30" s="550"/>
      <c r="S30" s="562"/>
      <c r="U30" s="548" t="s">
        <v>763</v>
      </c>
      <c r="V30" s="561">
        <f>W34/V29</f>
        <v>0.78109375000000003</v>
      </c>
      <c r="W30" s="550"/>
      <c r="X30" s="562"/>
      <c r="Z30" s="548" t="s">
        <v>763</v>
      </c>
      <c r="AA30" s="561">
        <f>AB34/AA29</f>
        <v>0.78109375000000003</v>
      </c>
      <c r="AB30" s="550"/>
      <c r="AC30" s="562"/>
      <c r="AE30" s="548" t="s">
        <v>763</v>
      </c>
      <c r="AF30" s="561">
        <f>AG34/AF29</f>
        <v>0.78109375000000003</v>
      </c>
      <c r="AG30" s="550"/>
      <c r="AH30" s="562"/>
    </row>
    <row r="31" spans="1:34" ht="16" thickBot="1">
      <c r="A31" s="563"/>
      <c r="B31" s="564" t="s">
        <v>250</v>
      </c>
      <c r="C31" s="564" t="s">
        <v>764</v>
      </c>
      <c r="D31" s="564" t="s">
        <v>18</v>
      </c>
      <c r="E31" s="536"/>
      <c r="F31" s="563"/>
      <c r="G31" s="564" t="s">
        <v>250</v>
      </c>
      <c r="H31" s="564" t="s">
        <v>764</v>
      </c>
      <c r="I31" s="564" t="s">
        <v>18</v>
      </c>
      <c r="J31" s="536"/>
      <c r="K31" s="563"/>
      <c r="L31" s="564" t="s">
        <v>250</v>
      </c>
      <c r="M31" s="564" t="s">
        <v>764</v>
      </c>
      <c r="N31" s="564" t="s">
        <v>18</v>
      </c>
      <c r="O31" s="536"/>
      <c r="P31" s="563"/>
      <c r="Q31" s="564" t="s">
        <v>250</v>
      </c>
      <c r="R31" s="564" t="s">
        <v>764</v>
      </c>
      <c r="S31" s="564" t="s">
        <v>18</v>
      </c>
      <c r="U31" s="563"/>
      <c r="V31" s="564" t="s">
        <v>250</v>
      </c>
      <c r="W31" s="564" t="s">
        <v>764</v>
      </c>
      <c r="X31" s="564" t="s">
        <v>18</v>
      </c>
      <c r="Z31" s="563"/>
      <c r="AA31" s="564" t="s">
        <v>250</v>
      </c>
      <c r="AB31" s="564" t="s">
        <v>764</v>
      </c>
      <c r="AC31" s="564" t="s">
        <v>18</v>
      </c>
      <c r="AE31" s="563"/>
      <c r="AF31" s="564" t="s">
        <v>250</v>
      </c>
      <c r="AG31" s="564" t="s">
        <v>764</v>
      </c>
      <c r="AH31" s="564" t="s">
        <v>18</v>
      </c>
    </row>
    <row r="32" spans="1:34" ht="16" thickBot="1">
      <c r="A32" s="565" t="s">
        <v>765</v>
      </c>
      <c r="B32" s="566">
        <f>ROUND(C32*$B$87,2)</f>
        <v>10</v>
      </c>
      <c r="C32" s="567">
        <f>ROUND(D32*'Model Assumptions'!$D$31,2)</f>
        <v>25</v>
      </c>
      <c r="D32" s="567">
        <f>C21</f>
        <v>49.99</v>
      </c>
      <c r="E32" s="536"/>
      <c r="F32" s="565" t="s">
        <v>765</v>
      </c>
      <c r="G32" s="566">
        <f>ROUND(H32*$B$87,2)</f>
        <v>10</v>
      </c>
      <c r="H32" s="567">
        <f>ROUND(I32*'Model Assumptions'!$D$31,2)</f>
        <v>25</v>
      </c>
      <c r="I32" s="567">
        <f>H21</f>
        <v>49.99</v>
      </c>
      <c r="J32" s="536"/>
      <c r="K32" s="565" t="s">
        <v>765</v>
      </c>
      <c r="L32" s="566">
        <f>ROUND(M32*$B$87,2)</f>
        <v>10</v>
      </c>
      <c r="M32" s="567">
        <f>ROUND(N32*'Model Assumptions'!$D$31,2)</f>
        <v>25</v>
      </c>
      <c r="N32" s="567">
        <f>M21</f>
        <v>49.99</v>
      </c>
      <c r="O32" s="536"/>
      <c r="P32" s="565" t="s">
        <v>765</v>
      </c>
      <c r="Q32" s="566">
        <f>ROUND(R32*$B$87,2)</f>
        <v>10</v>
      </c>
      <c r="R32" s="567">
        <f>ROUND(S32*'Model Assumptions'!$D$31,2)</f>
        <v>25</v>
      </c>
      <c r="S32" s="567">
        <f>R21</f>
        <v>49.99</v>
      </c>
      <c r="U32" s="565" t="s">
        <v>765</v>
      </c>
      <c r="V32" s="566">
        <f>ROUND(W32*$B$87,2)</f>
        <v>10</v>
      </c>
      <c r="W32" s="567">
        <f>ROUND(X32*'Model Assumptions'!$D$31,2)</f>
        <v>25</v>
      </c>
      <c r="X32" s="567">
        <f>W21</f>
        <v>49.99</v>
      </c>
      <c r="Z32" s="565" t="s">
        <v>765</v>
      </c>
      <c r="AA32" s="566">
        <f>ROUND(AB32*$B$87,2)</f>
        <v>10</v>
      </c>
      <c r="AB32" s="567">
        <f>ROUND(AC32*'Model Assumptions'!$D$31,2)</f>
        <v>25</v>
      </c>
      <c r="AC32" s="567">
        <f>AB21</f>
        <v>49.99</v>
      </c>
      <c r="AE32" s="565" t="s">
        <v>765</v>
      </c>
      <c r="AF32" s="566">
        <f>ROUND(AG32*$B$87,2)</f>
        <v>10</v>
      </c>
      <c r="AG32" s="567">
        <f>ROUND(AH32*'Model Assumptions'!$D$31,2)</f>
        <v>25</v>
      </c>
      <c r="AH32" s="567">
        <f>AG21</f>
        <v>49.99</v>
      </c>
    </row>
    <row r="33" spans="1:34" ht="16" thickBot="1">
      <c r="A33" s="565" t="s">
        <v>766</v>
      </c>
      <c r="B33" s="566">
        <f>ROUND(C33*$B$87,2)</f>
        <v>199.96</v>
      </c>
      <c r="C33" s="568">
        <f>ROUND(D33*'Model Assumptions'!$D$31,2)</f>
        <v>499.9</v>
      </c>
      <c r="D33" s="568">
        <f>ROUND(D32*B24,2)</f>
        <v>999.8</v>
      </c>
      <c r="E33" s="536"/>
      <c r="F33" s="565" t="s">
        <v>766</v>
      </c>
      <c r="G33" s="566">
        <f>ROUND(H33*$B$87,2)</f>
        <v>199.96</v>
      </c>
      <c r="H33" s="568">
        <f>ROUND(I33*'Model Assumptions'!$D$31,2)</f>
        <v>499.9</v>
      </c>
      <c r="I33" s="568">
        <f>ROUND(I32*G24,2)</f>
        <v>999.8</v>
      </c>
      <c r="J33" s="536"/>
      <c r="K33" s="565" t="s">
        <v>766</v>
      </c>
      <c r="L33" s="566">
        <f>ROUND(M33*$B$87,2)</f>
        <v>199.96</v>
      </c>
      <c r="M33" s="568">
        <f>ROUND(N33*'Model Assumptions'!$D$31,2)</f>
        <v>499.9</v>
      </c>
      <c r="N33" s="568">
        <f>ROUND(N32*L24,2)</f>
        <v>999.8</v>
      </c>
      <c r="O33" s="536"/>
      <c r="P33" s="565" t="s">
        <v>766</v>
      </c>
      <c r="Q33" s="566">
        <f>ROUND(R33*$B$87,2)</f>
        <v>199.96</v>
      </c>
      <c r="R33" s="568">
        <f>ROUND(S33*'Model Assumptions'!$D$31,2)</f>
        <v>499.9</v>
      </c>
      <c r="S33" s="568">
        <f>ROUND(S32*Q24,2)</f>
        <v>999.8</v>
      </c>
      <c r="U33" s="565" t="s">
        <v>766</v>
      </c>
      <c r="V33" s="566">
        <f>ROUND(W33*$B$87,2)</f>
        <v>199.96</v>
      </c>
      <c r="W33" s="568">
        <f>ROUND(X33*'Model Assumptions'!$D$31,2)</f>
        <v>499.9</v>
      </c>
      <c r="X33" s="568">
        <f>ROUND(X32*V24,2)</f>
        <v>999.8</v>
      </c>
      <c r="Z33" s="565" t="s">
        <v>766</v>
      </c>
      <c r="AA33" s="566">
        <f>ROUND(AB33*$B$87,2)</f>
        <v>199.96</v>
      </c>
      <c r="AB33" s="568">
        <f>ROUND(AC33*'Model Assumptions'!$D$31,2)</f>
        <v>499.9</v>
      </c>
      <c r="AC33" s="568">
        <f>ROUND(AC32*AA24,2)</f>
        <v>999.8</v>
      </c>
      <c r="AE33" s="565" t="s">
        <v>766</v>
      </c>
      <c r="AF33" s="566">
        <f>ROUND(AG33*$B$87,2)</f>
        <v>199.96</v>
      </c>
      <c r="AG33" s="568">
        <f>ROUND(AH33*'Model Assumptions'!$D$31,2)</f>
        <v>499.9</v>
      </c>
      <c r="AH33" s="568">
        <f>ROUND(AH32*AF24,2)</f>
        <v>999.8</v>
      </c>
    </row>
    <row r="34" spans="1:34" ht="16" thickBot="1">
      <c r="A34" s="565" t="s">
        <v>767</v>
      </c>
      <c r="B34" s="566">
        <f>ROUND(B33*$B23,2)</f>
        <v>99980</v>
      </c>
      <c r="C34" s="568">
        <f>ROUND(C33*$B23,2)</f>
        <v>249950</v>
      </c>
      <c r="D34" s="568">
        <f>ROUND(D33*B23,2)</f>
        <v>499900</v>
      </c>
      <c r="E34" s="536"/>
      <c r="F34" s="565" t="s">
        <v>767</v>
      </c>
      <c r="G34" s="566">
        <f>ROUND(G33*G23,2)</f>
        <v>149970</v>
      </c>
      <c r="H34" s="568">
        <f>ROUND(H33*G23,2)</f>
        <v>374925</v>
      </c>
      <c r="I34" s="568">
        <f>ROUND(I33*G23,2)</f>
        <v>749850</v>
      </c>
      <c r="J34" s="536"/>
      <c r="K34" s="565" t="s">
        <v>767</v>
      </c>
      <c r="L34" s="566">
        <f>ROUND(L33*L23,2)</f>
        <v>199960</v>
      </c>
      <c r="M34" s="568">
        <f>ROUND(M33*L23,2)</f>
        <v>499900</v>
      </c>
      <c r="N34" s="568">
        <f>ROUND(N33*L23,2)</f>
        <v>999800</v>
      </c>
      <c r="O34" s="536"/>
      <c r="P34" s="565" t="s">
        <v>767</v>
      </c>
      <c r="Q34" s="566">
        <f>ROUND(Q33*Q23,2)</f>
        <v>199960</v>
      </c>
      <c r="R34" s="568">
        <f>ROUND(R33*Q23,2)</f>
        <v>499900</v>
      </c>
      <c r="S34" s="568">
        <f>ROUND(S33*Q23,2)</f>
        <v>999800</v>
      </c>
      <c r="U34" s="565" t="s">
        <v>767</v>
      </c>
      <c r="V34" s="566">
        <f>ROUND(V33*V23,2)</f>
        <v>199960</v>
      </c>
      <c r="W34" s="568">
        <f>ROUND(W33*V23,2)</f>
        <v>499900</v>
      </c>
      <c r="X34" s="568">
        <f>ROUND(X33*V23,2)</f>
        <v>999800</v>
      </c>
      <c r="Z34" s="565" t="s">
        <v>767</v>
      </c>
      <c r="AA34" s="566">
        <f>ROUND(AA33*AA23,2)</f>
        <v>199960</v>
      </c>
      <c r="AB34" s="568">
        <f>ROUND(AB33*AA23,2)</f>
        <v>499900</v>
      </c>
      <c r="AC34" s="568">
        <f>ROUND(AC33*AA23,2)</f>
        <v>999800</v>
      </c>
      <c r="AE34" s="565" t="s">
        <v>767</v>
      </c>
      <c r="AF34" s="566">
        <f>ROUND(AF33*AF23,2)</f>
        <v>199960</v>
      </c>
      <c r="AG34" s="568">
        <f>ROUND(AG33*AF23,2)</f>
        <v>499900</v>
      </c>
      <c r="AH34" s="568">
        <f>ROUND(AH33*AF23,2)</f>
        <v>999800</v>
      </c>
    </row>
    <row r="35" spans="1:34" ht="16" thickBot="1">
      <c r="A35" s="536"/>
      <c r="B35" s="536"/>
      <c r="C35" s="536"/>
      <c r="D35" s="536"/>
      <c r="E35" s="536"/>
      <c r="F35" s="536"/>
      <c r="G35" s="536"/>
      <c r="H35" s="536"/>
      <c r="I35" s="536"/>
      <c r="J35" s="536"/>
      <c r="K35" s="536"/>
      <c r="L35" s="536"/>
      <c r="M35" s="536"/>
      <c r="N35" s="536"/>
      <c r="O35" s="536"/>
      <c r="P35" s="536"/>
      <c r="Q35" s="536"/>
      <c r="R35" s="536"/>
      <c r="S35" s="536"/>
      <c r="T35" s="551"/>
      <c r="U35" s="536"/>
      <c r="V35" s="536"/>
      <c r="W35" s="536"/>
      <c r="X35" s="536"/>
      <c r="Z35" s="536"/>
      <c r="AA35" s="536"/>
      <c r="AB35" s="536"/>
      <c r="AC35" s="536"/>
      <c r="AE35" s="536"/>
      <c r="AF35" s="536"/>
      <c r="AG35" s="536"/>
      <c r="AH35" s="536"/>
    </row>
    <row r="36" spans="1:34" ht="16" thickBot="1">
      <c r="A36" s="536"/>
      <c r="B36" s="536"/>
      <c r="C36" s="541" t="s">
        <v>754</v>
      </c>
      <c r="D36" s="542" t="s">
        <v>755</v>
      </c>
      <c r="E36" s="536"/>
      <c r="F36" s="536"/>
      <c r="G36" s="536"/>
      <c r="H36" s="541" t="s">
        <v>754</v>
      </c>
      <c r="I36" s="542" t="s">
        <v>755</v>
      </c>
      <c r="J36" s="536"/>
      <c r="K36" s="536"/>
      <c r="L36" s="536"/>
      <c r="M36" s="541" t="s">
        <v>754</v>
      </c>
      <c r="N36" s="542" t="s">
        <v>755</v>
      </c>
      <c r="O36" s="536"/>
      <c r="P36" s="536"/>
      <c r="Q36" s="536"/>
      <c r="R36" s="541" t="s">
        <v>754</v>
      </c>
      <c r="S36" s="542" t="s">
        <v>755</v>
      </c>
      <c r="T36" s="551"/>
      <c r="U36" s="536"/>
      <c r="V36" s="536"/>
      <c r="W36" s="541" t="s">
        <v>754</v>
      </c>
      <c r="X36" s="542" t="s">
        <v>755</v>
      </c>
      <c r="Z36" s="536"/>
      <c r="AA36" s="536"/>
      <c r="AB36" s="541" t="s">
        <v>754</v>
      </c>
      <c r="AC36" s="542" t="s">
        <v>755</v>
      </c>
      <c r="AE36" s="536"/>
      <c r="AF36" s="536"/>
      <c r="AG36" s="541" t="s">
        <v>754</v>
      </c>
      <c r="AH36" s="542" t="s">
        <v>755</v>
      </c>
    </row>
    <row r="37" spans="1:34" s="546" customFormat="1" ht="16">
      <c r="A37" s="544" t="s">
        <v>768</v>
      </c>
      <c r="B37" s="1164" t="s">
        <v>18</v>
      </c>
      <c r="C37" s="1170">
        <v>39.99</v>
      </c>
      <c r="D37" s="1166">
        <f>C37*B40</f>
        <v>1599.6000000000001</v>
      </c>
      <c r="E37" s="1169"/>
      <c r="F37" s="544" t="s">
        <v>768</v>
      </c>
      <c r="G37" s="1164" t="s">
        <v>18</v>
      </c>
      <c r="H37" s="1170">
        <v>39.99</v>
      </c>
      <c r="I37" s="1166">
        <f>H37*G40</f>
        <v>1599.6000000000001</v>
      </c>
      <c r="J37" s="1169"/>
      <c r="K37" s="544" t="s">
        <v>768</v>
      </c>
      <c r="L37" s="1164" t="s">
        <v>18</v>
      </c>
      <c r="M37" s="1170">
        <v>39.99</v>
      </c>
      <c r="N37" s="1166">
        <f>M37*L40</f>
        <v>1599.6000000000001</v>
      </c>
      <c r="O37" s="1168"/>
      <c r="P37" s="544" t="s">
        <v>768</v>
      </c>
      <c r="Q37" s="1164" t="s">
        <v>18</v>
      </c>
      <c r="R37" s="1170">
        <v>39.99</v>
      </c>
      <c r="S37" s="1166">
        <f>R37*Q40</f>
        <v>1599.6000000000001</v>
      </c>
      <c r="T37" s="569"/>
      <c r="U37" s="544" t="s">
        <v>768</v>
      </c>
      <c r="V37" s="1164" t="s">
        <v>18</v>
      </c>
      <c r="W37" s="1170">
        <v>39.99</v>
      </c>
      <c r="X37" s="1166">
        <f>W37*V40</f>
        <v>1599.6000000000001</v>
      </c>
      <c r="Z37" s="544" t="s">
        <v>768</v>
      </c>
      <c r="AA37" s="1164" t="s">
        <v>18</v>
      </c>
      <c r="AB37" s="1170">
        <v>39.99</v>
      </c>
      <c r="AC37" s="1166">
        <f>AB37*AA40</f>
        <v>1599.6000000000001</v>
      </c>
      <c r="AE37" s="544" t="s">
        <v>768</v>
      </c>
      <c r="AF37" s="1164" t="s">
        <v>18</v>
      </c>
      <c r="AG37" s="1170">
        <v>39.99</v>
      </c>
      <c r="AH37" s="1166">
        <f>AG37*AF40</f>
        <v>1599.6000000000001</v>
      </c>
    </row>
    <row r="38" spans="1:34" s="546" customFormat="1" ht="16" thickBot="1">
      <c r="A38" s="547" t="s">
        <v>769</v>
      </c>
      <c r="B38" s="1165"/>
      <c r="C38" s="1171"/>
      <c r="D38" s="1167"/>
      <c r="E38" s="1169"/>
      <c r="F38" s="547" t="s">
        <v>769</v>
      </c>
      <c r="G38" s="1165"/>
      <c r="H38" s="1171"/>
      <c r="I38" s="1167"/>
      <c r="J38" s="1169"/>
      <c r="K38" s="547" t="s">
        <v>769</v>
      </c>
      <c r="L38" s="1165"/>
      <c r="M38" s="1171"/>
      <c r="N38" s="1167"/>
      <c r="O38" s="1168"/>
      <c r="P38" s="547" t="s">
        <v>769</v>
      </c>
      <c r="Q38" s="1165"/>
      <c r="R38" s="1171"/>
      <c r="S38" s="1167"/>
      <c r="T38" s="569"/>
      <c r="U38" s="547" t="s">
        <v>769</v>
      </c>
      <c r="V38" s="1165"/>
      <c r="W38" s="1171"/>
      <c r="X38" s="1167"/>
      <c r="Z38" s="547" t="s">
        <v>769</v>
      </c>
      <c r="AA38" s="1165"/>
      <c r="AB38" s="1171"/>
      <c r="AC38" s="1167"/>
      <c r="AE38" s="547" t="s">
        <v>769</v>
      </c>
      <c r="AF38" s="1165"/>
      <c r="AG38" s="1171"/>
      <c r="AH38" s="1167"/>
    </row>
    <row r="39" spans="1:34" ht="16" thickBot="1">
      <c r="A39" s="548" t="s">
        <v>758</v>
      </c>
      <c r="B39" s="549">
        <v>1000</v>
      </c>
      <c r="C39" s="550"/>
      <c r="D39" s="550"/>
      <c r="E39" s="536"/>
      <c r="F39" s="548" t="s">
        <v>758</v>
      </c>
      <c r="G39" s="549">
        <v>1200</v>
      </c>
      <c r="H39" s="550"/>
      <c r="I39" s="550"/>
      <c r="J39" s="536"/>
      <c r="K39" s="548" t="s">
        <v>758</v>
      </c>
      <c r="L39" s="549">
        <v>1500</v>
      </c>
      <c r="M39" s="550"/>
      <c r="N39" s="550"/>
      <c r="O39" s="536"/>
      <c r="P39" s="548" t="s">
        <v>758</v>
      </c>
      <c r="Q39" s="549">
        <v>1500</v>
      </c>
      <c r="R39" s="550"/>
      <c r="S39" s="550"/>
      <c r="T39" s="551"/>
      <c r="U39" s="548" t="s">
        <v>758</v>
      </c>
      <c r="V39" s="549">
        <v>1500</v>
      </c>
      <c r="W39" s="550"/>
      <c r="X39" s="550"/>
      <c r="Z39" s="548" t="s">
        <v>758</v>
      </c>
      <c r="AA39" s="549">
        <v>1500</v>
      </c>
      <c r="AB39" s="550"/>
      <c r="AC39" s="550"/>
      <c r="AE39" s="548" t="s">
        <v>758</v>
      </c>
      <c r="AF39" s="549">
        <v>1500</v>
      </c>
      <c r="AG39" s="550"/>
      <c r="AH39" s="550"/>
    </row>
    <row r="40" spans="1:34" ht="17" thickBot="1">
      <c r="A40" s="552" t="s">
        <v>188</v>
      </c>
      <c r="B40" s="550">
        <v>40</v>
      </c>
      <c r="C40" s="550"/>
      <c r="D40" s="553"/>
      <c r="E40" s="536"/>
      <c r="F40" s="552" t="s">
        <v>188</v>
      </c>
      <c r="G40" s="550">
        <v>40</v>
      </c>
      <c r="H40" s="550"/>
      <c r="I40" s="553"/>
      <c r="J40" s="536"/>
      <c r="K40" s="552" t="s">
        <v>188</v>
      </c>
      <c r="L40" s="550">
        <v>40</v>
      </c>
      <c r="M40" s="550"/>
      <c r="N40" s="553"/>
      <c r="O40" s="536"/>
      <c r="P40" s="552" t="s">
        <v>188</v>
      </c>
      <c r="Q40" s="550">
        <v>40</v>
      </c>
      <c r="R40" s="550"/>
      <c r="S40" s="553"/>
      <c r="T40" s="551"/>
      <c r="U40" s="552" t="s">
        <v>188</v>
      </c>
      <c r="V40" s="550">
        <v>40</v>
      </c>
      <c r="W40" s="550"/>
      <c r="X40" s="553"/>
      <c r="Z40" s="552" t="s">
        <v>188</v>
      </c>
      <c r="AA40" s="550">
        <v>40</v>
      </c>
      <c r="AB40" s="550"/>
      <c r="AC40" s="553"/>
      <c r="AE40" s="552" t="s">
        <v>188</v>
      </c>
      <c r="AF40" s="550">
        <v>40</v>
      </c>
      <c r="AG40" s="550"/>
      <c r="AH40" s="553"/>
    </row>
    <row r="41" spans="1:34" ht="16" thickBot="1">
      <c r="A41" s="548" t="s">
        <v>759</v>
      </c>
      <c r="B41" s="549">
        <f>B39*B40</f>
        <v>40000</v>
      </c>
      <c r="C41" s="554"/>
      <c r="D41" s="555"/>
      <c r="E41" s="536"/>
      <c r="F41" s="548" t="s">
        <v>759</v>
      </c>
      <c r="G41" s="549">
        <f>G39*G40</f>
        <v>48000</v>
      </c>
      <c r="H41" s="554"/>
      <c r="I41" s="555"/>
      <c r="J41" s="536"/>
      <c r="K41" s="548" t="s">
        <v>759</v>
      </c>
      <c r="L41" s="549">
        <f>L39*L40</f>
        <v>60000</v>
      </c>
      <c r="M41" s="554"/>
      <c r="N41" s="555"/>
      <c r="O41" s="536"/>
      <c r="P41" s="548" t="s">
        <v>759</v>
      </c>
      <c r="Q41" s="549">
        <f>Q39*Q40</f>
        <v>60000</v>
      </c>
      <c r="R41" s="554"/>
      <c r="S41" s="555"/>
      <c r="T41" s="551"/>
      <c r="U41" s="548" t="s">
        <v>759</v>
      </c>
      <c r="V41" s="549">
        <f>V39*V40</f>
        <v>60000</v>
      </c>
      <c r="W41" s="554"/>
      <c r="X41" s="555"/>
      <c r="Z41" s="548" t="s">
        <v>759</v>
      </c>
      <c r="AA41" s="549">
        <f>AA39*AA40</f>
        <v>60000</v>
      </c>
      <c r="AB41" s="554"/>
      <c r="AC41" s="555"/>
      <c r="AE41" s="548" t="s">
        <v>759</v>
      </c>
      <c r="AF41" s="549">
        <f>AF39*AF40</f>
        <v>60000</v>
      </c>
      <c r="AG41" s="554"/>
      <c r="AH41" s="555"/>
    </row>
    <row r="42" spans="1:34" ht="16" thickBot="1">
      <c r="A42" s="548" t="s">
        <v>192</v>
      </c>
      <c r="B42" s="550">
        <v>6</v>
      </c>
      <c r="C42" s="554"/>
      <c r="D42" s="557"/>
      <c r="E42" s="536"/>
      <c r="F42" s="548" t="s">
        <v>192</v>
      </c>
      <c r="G42" s="550">
        <v>6</v>
      </c>
      <c r="H42" s="554"/>
      <c r="I42" s="557"/>
      <c r="J42" s="536"/>
      <c r="K42" s="548" t="s">
        <v>192</v>
      </c>
      <c r="L42" s="550">
        <v>6</v>
      </c>
      <c r="M42" s="554"/>
      <c r="N42" s="557"/>
      <c r="O42" s="536"/>
      <c r="P42" s="548" t="s">
        <v>192</v>
      </c>
      <c r="Q42" s="550">
        <v>6</v>
      </c>
      <c r="R42" s="554"/>
      <c r="S42" s="557"/>
      <c r="U42" s="548" t="s">
        <v>192</v>
      </c>
      <c r="V42" s="550">
        <v>6</v>
      </c>
      <c r="W42" s="554"/>
      <c r="X42" s="557"/>
      <c r="Z42" s="548" t="s">
        <v>192</v>
      </c>
      <c r="AA42" s="550">
        <v>6</v>
      </c>
      <c r="AB42" s="554"/>
      <c r="AC42" s="557"/>
      <c r="AE42" s="548" t="s">
        <v>192</v>
      </c>
      <c r="AF42" s="550">
        <v>6</v>
      </c>
      <c r="AG42" s="554"/>
      <c r="AH42" s="557"/>
    </row>
    <row r="43" spans="1:34" ht="16" thickBot="1">
      <c r="A43" s="559" t="s">
        <v>195</v>
      </c>
      <c r="B43" s="550">
        <v>4</v>
      </c>
      <c r="C43" s="550"/>
      <c r="D43" s="550"/>
      <c r="E43" s="536"/>
      <c r="F43" s="559" t="s">
        <v>195</v>
      </c>
      <c r="G43" s="550">
        <v>4</v>
      </c>
      <c r="H43" s="550"/>
      <c r="I43" s="550"/>
      <c r="J43" s="536"/>
      <c r="K43" s="559" t="s">
        <v>195</v>
      </c>
      <c r="L43" s="550">
        <v>4</v>
      </c>
      <c r="M43" s="550"/>
      <c r="N43" s="550"/>
      <c r="O43" s="536"/>
      <c r="P43" s="559" t="s">
        <v>195</v>
      </c>
      <c r="Q43" s="550">
        <v>4</v>
      </c>
      <c r="R43" s="550"/>
      <c r="S43" s="550"/>
      <c r="U43" s="559" t="s">
        <v>195</v>
      </c>
      <c r="V43" s="550">
        <v>4</v>
      </c>
      <c r="W43" s="550"/>
      <c r="X43" s="550"/>
      <c r="Z43" s="559" t="s">
        <v>195</v>
      </c>
      <c r="AA43" s="550">
        <v>4</v>
      </c>
      <c r="AB43" s="550"/>
      <c r="AC43" s="550"/>
      <c r="AE43" s="559" t="s">
        <v>195</v>
      </c>
      <c r="AF43" s="550">
        <v>4</v>
      </c>
      <c r="AG43" s="550"/>
      <c r="AH43" s="550"/>
    </row>
    <row r="44" spans="1:34" ht="16" thickBot="1">
      <c r="A44" s="548" t="s">
        <v>761</v>
      </c>
      <c r="B44" s="549">
        <f>B41*B42</f>
        <v>240000</v>
      </c>
      <c r="C44" s="550"/>
      <c r="D44" s="550"/>
      <c r="E44" s="536"/>
      <c r="F44" s="548" t="s">
        <v>761</v>
      </c>
      <c r="G44" s="549">
        <f>G41*G42</f>
        <v>288000</v>
      </c>
      <c r="H44" s="550"/>
      <c r="I44" s="550"/>
      <c r="J44" s="536"/>
      <c r="K44" s="548" t="s">
        <v>761</v>
      </c>
      <c r="L44" s="549">
        <f>L41*L42</f>
        <v>360000</v>
      </c>
      <c r="M44" s="550"/>
      <c r="N44" s="550"/>
      <c r="O44" s="536"/>
      <c r="P44" s="548" t="s">
        <v>761</v>
      </c>
      <c r="Q44" s="549">
        <f>Q41*Q42</f>
        <v>360000</v>
      </c>
      <c r="R44" s="550"/>
      <c r="S44" s="550"/>
      <c r="U44" s="548" t="s">
        <v>761</v>
      </c>
      <c r="V44" s="549">
        <f>V41*V42</f>
        <v>360000</v>
      </c>
      <c r="W44" s="550"/>
      <c r="X44" s="550"/>
      <c r="Z44" s="548" t="s">
        <v>761</v>
      </c>
      <c r="AA44" s="549">
        <f>AA41*AA42</f>
        <v>360000</v>
      </c>
      <c r="AB44" s="550"/>
      <c r="AC44" s="550"/>
      <c r="AE44" s="548" t="s">
        <v>761</v>
      </c>
      <c r="AF44" s="549">
        <f>AF41*AF42</f>
        <v>360000</v>
      </c>
      <c r="AG44" s="550"/>
      <c r="AH44" s="550"/>
    </row>
    <row r="45" spans="1:34" ht="16" thickBot="1">
      <c r="A45" s="548" t="s">
        <v>762</v>
      </c>
      <c r="B45" s="549">
        <f>B44*B43</f>
        <v>960000</v>
      </c>
      <c r="C45" s="550"/>
      <c r="D45" s="550"/>
      <c r="E45" s="536"/>
      <c r="F45" s="548" t="s">
        <v>762</v>
      </c>
      <c r="G45" s="549">
        <f>G44*G43</f>
        <v>1152000</v>
      </c>
      <c r="H45" s="550"/>
      <c r="I45" s="550"/>
      <c r="J45" s="536"/>
      <c r="K45" s="548" t="s">
        <v>762</v>
      </c>
      <c r="L45" s="549">
        <f>L44*L43</f>
        <v>1440000</v>
      </c>
      <c r="M45" s="550"/>
      <c r="N45" s="550"/>
      <c r="O45" s="536"/>
      <c r="P45" s="548" t="s">
        <v>762</v>
      </c>
      <c r="Q45" s="549">
        <f>Q44*Q43</f>
        <v>1440000</v>
      </c>
      <c r="R45" s="550"/>
      <c r="S45" s="550"/>
      <c r="U45" s="548" t="s">
        <v>762</v>
      </c>
      <c r="V45" s="549">
        <f>V44*V43</f>
        <v>1440000</v>
      </c>
      <c r="W45" s="550"/>
      <c r="X45" s="550"/>
      <c r="Z45" s="548" t="s">
        <v>762</v>
      </c>
      <c r="AA45" s="549">
        <f>AA44*AA43</f>
        <v>1440000</v>
      </c>
      <c r="AB45" s="550"/>
      <c r="AC45" s="550"/>
      <c r="AE45" s="548" t="s">
        <v>762</v>
      </c>
      <c r="AF45" s="549">
        <f>AF44*AF43</f>
        <v>1440000</v>
      </c>
      <c r="AG45" s="550"/>
      <c r="AH45" s="550"/>
    </row>
    <row r="46" spans="1:34" ht="16" thickBot="1">
      <c r="A46" s="548" t="s">
        <v>763</v>
      </c>
      <c r="B46" s="561">
        <f>C50/B45</f>
        <v>0.833125</v>
      </c>
      <c r="C46" s="550"/>
      <c r="D46" s="562"/>
      <c r="E46" s="536"/>
      <c r="F46" s="548" t="s">
        <v>763</v>
      </c>
      <c r="G46" s="561">
        <f>H50/G45</f>
        <v>0.833125</v>
      </c>
      <c r="H46" s="550"/>
      <c r="I46" s="562"/>
      <c r="J46" s="536"/>
      <c r="K46" s="548" t="s">
        <v>763</v>
      </c>
      <c r="L46" s="561">
        <f>M50/L45</f>
        <v>0.833125</v>
      </c>
      <c r="M46" s="550"/>
      <c r="N46" s="562"/>
      <c r="O46" s="536"/>
      <c r="P46" s="548" t="s">
        <v>763</v>
      </c>
      <c r="Q46" s="561">
        <f>R50/Q45</f>
        <v>0.833125</v>
      </c>
      <c r="R46" s="550"/>
      <c r="S46" s="562"/>
      <c r="U46" s="548" t="s">
        <v>763</v>
      </c>
      <c r="V46" s="561">
        <f>W50/V45</f>
        <v>0.833125</v>
      </c>
      <c r="W46" s="550"/>
      <c r="X46" s="562"/>
      <c r="Z46" s="548" t="s">
        <v>763</v>
      </c>
      <c r="AA46" s="561">
        <f>AB50/AA45</f>
        <v>0.833125</v>
      </c>
      <c r="AB46" s="550"/>
      <c r="AC46" s="562"/>
      <c r="AE46" s="548" t="s">
        <v>763</v>
      </c>
      <c r="AF46" s="561">
        <f>AG50/AF45</f>
        <v>0.833125</v>
      </c>
      <c r="AG46" s="550"/>
      <c r="AH46" s="562"/>
    </row>
    <row r="47" spans="1:34" ht="16" thickBot="1">
      <c r="A47" s="563"/>
      <c r="B47" s="564" t="s">
        <v>250</v>
      </c>
      <c r="C47" s="564" t="s">
        <v>764</v>
      </c>
      <c r="D47" s="564" t="s">
        <v>18</v>
      </c>
      <c r="E47" s="536"/>
      <c r="F47" s="563"/>
      <c r="G47" s="564" t="s">
        <v>250</v>
      </c>
      <c r="H47" s="564" t="s">
        <v>764</v>
      </c>
      <c r="I47" s="564" t="s">
        <v>18</v>
      </c>
      <c r="J47" s="536"/>
      <c r="K47" s="563"/>
      <c r="L47" s="564" t="s">
        <v>250</v>
      </c>
      <c r="M47" s="564" t="s">
        <v>764</v>
      </c>
      <c r="N47" s="564" t="s">
        <v>18</v>
      </c>
      <c r="O47" s="536"/>
      <c r="P47" s="563"/>
      <c r="Q47" s="564" t="s">
        <v>250</v>
      </c>
      <c r="R47" s="564" t="s">
        <v>764</v>
      </c>
      <c r="S47" s="564" t="s">
        <v>18</v>
      </c>
      <c r="U47" s="563"/>
      <c r="V47" s="564" t="s">
        <v>250</v>
      </c>
      <c r="W47" s="564" t="s">
        <v>764</v>
      </c>
      <c r="X47" s="564" t="s">
        <v>18</v>
      </c>
      <c r="Z47" s="563"/>
      <c r="AA47" s="564" t="s">
        <v>250</v>
      </c>
      <c r="AB47" s="564" t="s">
        <v>764</v>
      </c>
      <c r="AC47" s="564" t="s">
        <v>18</v>
      </c>
      <c r="AE47" s="563"/>
      <c r="AF47" s="564" t="s">
        <v>250</v>
      </c>
      <c r="AG47" s="564" t="s">
        <v>764</v>
      </c>
      <c r="AH47" s="564" t="s">
        <v>18</v>
      </c>
    </row>
    <row r="48" spans="1:34" ht="16" thickBot="1">
      <c r="A48" s="565" t="s">
        <v>765</v>
      </c>
      <c r="B48" s="566">
        <f>ROUND(C48*$B$87,2)</f>
        <v>8</v>
      </c>
      <c r="C48" s="567">
        <f>ROUND(D48*'Model Assumptions'!$D$31,2)</f>
        <v>20</v>
      </c>
      <c r="D48" s="567">
        <f>C37</f>
        <v>39.99</v>
      </c>
      <c r="E48" s="536"/>
      <c r="F48" s="565" t="s">
        <v>765</v>
      </c>
      <c r="G48" s="566">
        <f>ROUND(H48*$B$87,2)</f>
        <v>8</v>
      </c>
      <c r="H48" s="567">
        <f>ROUND(I48*'Model Assumptions'!$D$31,2)</f>
        <v>20</v>
      </c>
      <c r="I48" s="567">
        <f>H37</f>
        <v>39.99</v>
      </c>
      <c r="J48" s="536"/>
      <c r="K48" s="565" t="s">
        <v>765</v>
      </c>
      <c r="L48" s="566">
        <f>ROUND(M48*$B$87,2)</f>
        <v>8</v>
      </c>
      <c r="M48" s="567">
        <f>ROUND(N48*'Model Assumptions'!$D$31,2)</f>
        <v>20</v>
      </c>
      <c r="N48" s="567">
        <f>M37</f>
        <v>39.99</v>
      </c>
      <c r="O48" s="536"/>
      <c r="P48" s="565" t="s">
        <v>765</v>
      </c>
      <c r="Q48" s="566">
        <f>ROUND(R48*$B$87,2)</f>
        <v>8</v>
      </c>
      <c r="R48" s="567">
        <f>ROUND(S48*'Model Assumptions'!$D$31,2)</f>
        <v>20</v>
      </c>
      <c r="S48" s="567">
        <f>R37</f>
        <v>39.99</v>
      </c>
      <c r="U48" s="565" t="s">
        <v>765</v>
      </c>
      <c r="V48" s="566">
        <f>ROUND(W48*$B$87,2)</f>
        <v>8</v>
      </c>
      <c r="W48" s="567">
        <f>ROUND(X48*'Model Assumptions'!$D$31,2)</f>
        <v>20</v>
      </c>
      <c r="X48" s="567">
        <f>W37</f>
        <v>39.99</v>
      </c>
      <c r="Z48" s="565" t="s">
        <v>765</v>
      </c>
      <c r="AA48" s="566">
        <f>ROUND(AB48*$B$87,2)</f>
        <v>8</v>
      </c>
      <c r="AB48" s="567">
        <f>ROUND(AC48*'Model Assumptions'!$D$31,2)</f>
        <v>20</v>
      </c>
      <c r="AC48" s="567">
        <f>AB37</f>
        <v>39.99</v>
      </c>
      <c r="AE48" s="565" t="s">
        <v>765</v>
      </c>
      <c r="AF48" s="566">
        <f>ROUND(AG48*$B$87,2)</f>
        <v>8</v>
      </c>
      <c r="AG48" s="567">
        <f>ROUND(AH48*'Model Assumptions'!$D$31,2)</f>
        <v>20</v>
      </c>
      <c r="AH48" s="567">
        <f>AG37</f>
        <v>39.99</v>
      </c>
    </row>
    <row r="49" spans="1:34" ht="16" thickBot="1">
      <c r="A49" s="565" t="s">
        <v>766</v>
      </c>
      <c r="B49" s="566">
        <f>ROUND(C49*$B$87,2)</f>
        <v>319.92</v>
      </c>
      <c r="C49" s="568">
        <f>ROUND(D49*'Model Assumptions'!$D$31,2)</f>
        <v>799.8</v>
      </c>
      <c r="D49" s="568">
        <f>ROUND(D48*B40,2)</f>
        <v>1599.6</v>
      </c>
      <c r="E49" s="536"/>
      <c r="F49" s="565" t="s">
        <v>766</v>
      </c>
      <c r="G49" s="566">
        <f>ROUND(H49*$B$87,2)</f>
        <v>319.92</v>
      </c>
      <c r="H49" s="568">
        <f>ROUND(I49*'Model Assumptions'!$D$31,2)</f>
        <v>799.8</v>
      </c>
      <c r="I49" s="568">
        <f>ROUND(I48*G40,2)</f>
        <v>1599.6</v>
      </c>
      <c r="J49" s="536"/>
      <c r="K49" s="565" t="s">
        <v>766</v>
      </c>
      <c r="L49" s="566">
        <f>ROUND(M49*$B$87,2)</f>
        <v>319.92</v>
      </c>
      <c r="M49" s="568">
        <f>ROUND(N49*'Model Assumptions'!$D$31,2)</f>
        <v>799.8</v>
      </c>
      <c r="N49" s="568">
        <f>ROUND(N48*L40,2)</f>
        <v>1599.6</v>
      </c>
      <c r="O49" s="536"/>
      <c r="P49" s="565" t="s">
        <v>766</v>
      </c>
      <c r="Q49" s="566">
        <f>ROUND(R49*$B$87,2)</f>
        <v>319.92</v>
      </c>
      <c r="R49" s="568">
        <f>ROUND(S49*'Model Assumptions'!$D$31,2)</f>
        <v>799.8</v>
      </c>
      <c r="S49" s="568">
        <f>ROUND(S48*Q40,2)</f>
        <v>1599.6</v>
      </c>
      <c r="U49" s="565" t="s">
        <v>766</v>
      </c>
      <c r="V49" s="566">
        <f>ROUND(W49*$B$87,2)</f>
        <v>319.92</v>
      </c>
      <c r="W49" s="568">
        <f>ROUND(X49*'Model Assumptions'!$D$31,2)</f>
        <v>799.8</v>
      </c>
      <c r="X49" s="568">
        <f>ROUND(X48*V40,2)</f>
        <v>1599.6</v>
      </c>
      <c r="Z49" s="565" t="s">
        <v>766</v>
      </c>
      <c r="AA49" s="566">
        <f>ROUND(AB49*$B$87,2)</f>
        <v>319.92</v>
      </c>
      <c r="AB49" s="568">
        <f>ROUND(AC49*'Model Assumptions'!$D$31,2)</f>
        <v>799.8</v>
      </c>
      <c r="AC49" s="568">
        <f>ROUND(AC48*AA40,2)</f>
        <v>1599.6</v>
      </c>
      <c r="AE49" s="565" t="s">
        <v>766</v>
      </c>
      <c r="AF49" s="566">
        <f>ROUND(AG49*$B$87,2)</f>
        <v>319.92</v>
      </c>
      <c r="AG49" s="568">
        <f>ROUND(AH49*'Model Assumptions'!$D$31,2)</f>
        <v>799.8</v>
      </c>
      <c r="AH49" s="568">
        <f>ROUND(AH48*AF40,2)</f>
        <v>1599.6</v>
      </c>
    </row>
    <row r="50" spans="1:34" ht="16" thickBot="1">
      <c r="A50" s="565" t="s">
        <v>767</v>
      </c>
      <c r="B50" s="566">
        <f>ROUND(B49*$B39,2)</f>
        <v>319920</v>
      </c>
      <c r="C50" s="568">
        <f>ROUND(C49*$B39,2)</f>
        <v>799800</v>
      </c>
      <c r="D50" s="568">
        <f>ROUND(D49*B39,2)</f>
        <v>1599600</v>
      </c>
      <c r="E50" s="536"/>
      <c r="F50" s="565" t="s">
        <v>767</v>
      </c>
      <c r="G50" s="566">
        <f>ROUND(G49*G39,2)</f>
        <v>383904</v>
      </c>
      <c r="H50" s="568">
        <f>ROUND(H49*G39,2)</f>
        <v>959760</v>
      </c>
      <c r="I50" s="568">
        <f>ROUND(I49*G39,2)</f>
        <v>1919520</v>
      </c>
      <c r="J50" s="536"/>
      <c r="K50" s="565" t="s">
        <v>767</v>
      </c>
      <c r="L50" s="566">
        <f>ROUND(L49*L39,2)</f>
        <v>479880</v>
      </c>
      <c r="M50" s="568">
        <f>ROUND(M49*L39,2)</f>
        <v>1199700</v>
      </c>
      <c r="N50" s="568">
        <f>ROUND(N49*L39,2)</f>
        <v>2399400</v>
      </c>
      <c r="O50" s="536"/>
      <c r="P50" s="565" t="s">
        <v>767</v>
      </c>
      <c r="Q50" s="566">
        <f>ROUND(Q49*Q39,2)</f>
        <v>479880</v>
      </c>
      <c r="R50" s="568">
        <f>ROUND(R49*Q39,2)</f>
        <v>1199700</v>
      </c>
      <c r="S50" s="568">
        <f>ROUND(S49*Q39,2)</f>
        <v>2399400</v>
      </c>
      <c r="U50" s="565" t="s">
        <v>767</v>
      </c>
      <c r="V50" s="566">
        <f>ROUND(V49*V39,2)</f>
        <v>479880</v>
      </c>
      <c r="W50" s="568">
        <f>ROUND(W49*V39,2)</f>
        <v>1199700</v>
      </c>
      <c r="X50" s="568">
        <f>ROUND(X49*V39,2)</f>
        <v>2399400</v>
      </c>
      <c r="Z50" s="565" t="s">
        <v>767</v>
      </c>
      <c r="AA50" s="566">
        <f>ROUND(AA49*AA39,2)</f>
        <v>479880</v>
      </c>
      <c r="AB50" s="568">
        <f>ROUND(AB49*AA39,2)</f>
        <v>1199700</v>
      </c>
      <c r="AC50" s="568">
        <f>ROUND(AC49*AA39,2)</f>
        <v>2399400</v>
      </c>
      <c r="AE50" s="565" t="s">
        <v>767</v>
      </c>
      <c r="AF50" s="566">
        <f>ROUND(AF49*AF39,2)</f>
        <v>479880</v>
      </c>
      <c r="AG50" s="568">
        <f>ROUND(AG49*AF39,2)</f>
        <v>1199700</v>
      </c>
      <c r="AH50" s="568">
        <f>ROUND(AH49*AF39,2)</f>
        <v>2399400</v>
      </c>
    </row>
    <row r="51" spans="1:34" ht="16" thickBot="1">
      <c r="A51" s="536"/>
      <c r="B51" s="536"/>
      <c r="C51" s="536"/>
      <c r="D51" s="536"/>
      <c r="E51" s="536"/>
      <c r="F51" s="536"/>
      <c r="G51" s="536"/>
      <c r="H51" s="536"/>
      <c r="I51" s="536"/>
      <c r="J51" s="536"/>
      <c r="K51" s="536"/>
      <c r="L51" s="536"/>
      <c r="M51" s="536"/>
      <c r="N51" s="536"/>
      <c r="O51" s="536"/>
      <c r="P51" s="536"/>
      <c r="Q51" s="536"/>
      <c r="R51" s="536"/>
      <c r="S51" s="536"/>
      <c r="U51" s="536"/>
      <c r="V51" s="536"/>
      <c r="W51" s="536"/>
      <c r="X51" s="536"/>
      <c r="Z51" s="536"/>
      <c r="AA51" s="536"/>
      <c r="AB51" s="536"/>
      <c r="AC51" s="536"/>
      <c r="AE51" s="536"/>
      <c r="AF51" s="536"/>
      <c r="AG51" s="536"/>
      <c r="AH51" s="536"/>
    </row>
    <row r="52" spans="1:34" ht="16" thickBot="1">
      <c r="A52" s="536"/>
      <c r="B52" s="536"/>
      <c r="C52" s="541" t="s">
        <v>754</v>
      </c>
      <c r="D52" s="542" t="s">
        <v>755</v>
      </c>
      <c r="E52" s="536"/>
      <c r="F52" s="536"/>
      <c r="G52" s="536"/>
      <c r="H52" s="541" t="s">
        <v>754</v>
      </c>
      <c r="I52" s="542" t="s">
        <v>755</v>
      </c>
      <c r="J52" s="536"/>
      <c r="K52" s="536"/>
      <c r="L52" s="536"/>
      <c r="M52" s="541" t="s">
        <v>754</v>
      </c>
      <c r="N52" s="542" t="s">
        <v>755</v>
      </c>
      <c r="O52" s="536"/>
      <c r="P52" s="536"/>
      <c r="Q52" s="536"/>
      <c r="R52" s="541" t="s">
        <v>754</v>
      </c>
      <c r="S52" s="542" t="s">
        <v>755</v>
      </c>
      <c r="U52" s="536"/>
      <c r="V52" s="536"/>
      <c r="W52" s="541" t="s">
        <v>754</v>
      </c>
      <c r="X52" s="542" t="s">
        <v>755</v>
      </c>
      <c r="Z52" s="536"/>
      <c r="AA52" s="536"/>
      <c r="AB52" s="541" t="s">
        <v>754</v>
      </c>
      <c r="AC52" s="542" t="s">
        <v>755</v>
      </c>
      <c r="AE52" s="536"/>
      <c r="AF52" s="536"/>
      <c r="AG52" s="541" t="s">
        <v>754</v>
      </c>
      <c r="AH52" s="542" t="s">
        <v>755</v>
      </c>
    </row>
    <row r="53" spans="1:34" s="546" customFormat="1" ht="16">
      <c r="A53" s="544" t="s">
        <v>770</v>
      </c>
      <c r="B53" s="1164" t="s">
        <v>18</v>
      </c>
      <c r="C53" s="1170">
        <v>19.989999999999998</v>
      </c>
      <c r="D53" s="1166">
        <f>C53*B56</f>
        <v>719.64</v>
      </c>
      <c r="E53" s="1169"/>
      <c r="F53" s="544" t="s">
        <v>770</v>
      </c>
      <c r="G53" s="1164" t="s">
        <v>18</v>
      </c>
      <c r="H53" s="1170">
        <v>19.989999999999998</v>
      </c>
      <c r="I53" s="1166">
        <f>H53*G56</f>
        <v>719.64</v>
      </c>
      <c r="J53" s="1169"/>
      <c r="K53" s="544" t="s">
        <v>770</v>
      </c>
      <c r="L53" s="1164" t="s">
        <v>18</v>
      </c>
      <c r="M53" s="1170">
        <v>19.989999999999998</v>
      </c>
      <c r="N53" s="1166">
        <f>M53*L56</f>
        <v>719.64</v>
      </c>
      <c r="O53" s="1168"/>
      <c r="P53" s="544" t="s">
        <v>770</v>
      </c>
      <c r="Q53" s="1164" t="s">
        <v>18</v>
      </c>
      <c r="R53" s="1170">
        <v>19.989999999999998</v>
      </c>
      <c r="S53" s="1166">
        <f>R53*Q56</f>
        <v>719.64</v>
      </c>
      <c r="U53" s="544" t="s">
        <v>770</v>
      </c>
      <c r="V53" s="1164" t="s">
        <v>18</v>
      </c>
      <c r="W53" s="1170">
        <v>19.989999999999998</v>
      </c>
      <c r="X53" s="1166">
        <f>W53*V56</f>
        <v>719.64</v>
      </c>
      <c r="Z53" s="544" t="s">
        <v>770</v>
      </c>
      <c r="AA53" s="1164" t="s">
        <v>18</v>
      </c>
      <c r="AB53" s="1170">
        <v>19.989999999999998</v>
      </c>
      <c r="AC53" s="1166">
        <f>AB53*AA56</f>
        <v>719.64</v>
      </c>
      <c r="AE53" s="544" t="s">
        <v>770</v>
      </c>
      <c r="AF53" s="1164" t="s">
        <v>18</v>
      </c>
      <c r="AG53" s="1170">
        <v>19.989999999999998</v>
      </c>
      <c r="AH53" s="1166">
        <f>AG53*AF56</f>
        <v>719.64</v>
      </c>
    </row>
    <row r="54" spans="1:34" s="546" customFormat="1" ht="16" thickBot="1">
      <c r="A54" s="547" t="s">
        <v>771</v>
      </c>
      <c r="B54" s="1165"/>
      <c r="C54" s="1171"/>
      <c r="D54" s="1167"/>
      <c r="E54" s="1169"/>
      <c r="F54" s="547" t="s">
        <v>771</v>
      </c>
      <c r="G54" s="1165"/>
      <c r="H54" s="1171"/>
      <c r="I54" s="1167"/>
      <c r="J54" s="1169"/>
      <c r="K54" s="547" t="s">
        <v>771</v>
      </c>
      <c r="L54" s="1165"/>
      <c r="M54" s="1171"/>
      <c r="N54" s="1167"/>
      <c r="O54" s="1168"/>
      <c r="P54" s="547" t="s">
        <v>771</v>
      </c>
      <c r="Q54" s="1165"/>
      <c r="R54" s="1171"/>
      <c r="S54" s="1167"/>
      <c r="U54" s="547" t="s">
        <v>771</v>
      </c>
      <c r="V54" s="1165"/>
      <c r="W54" s="1171"/>
      <c r="X54" s="1167"/>
      <c r="Z54" s="547" t="s">
        <v>771</v>
      </c>
      <c r="AA54" s="1165"/>
      <c r="AB54" s="1171"/>
      <c r="AC54" s="1167"/>
      <c r="AE54" s="547" t="s">
        <v>771</v>
      </c>
      <c r="AF54" s="1165"/>
      <c r="AG54" s="1171"/>
      <c r="AH54" s="1167"/>
    </row>
    <row r="55" spans="1:34" ht="16" thickBot="1">
      <c r="A55" s="548" t="s">
        <v>758</v>
      </c>
      <c r="B55" s="550">
        <v>500</v>
      </c>
      <c r="C55" s="550"/>
      <c r="D55" s="550"/>
      <c r="E55" s="536"/>
      <c r="F55" s="548" t="s">
        <v>758</v>
      </c>
      <c r="G55" s="550">
        <v>750</v>
      </c>
      <c r="H55" s="550"/>
      <c r="I55" s="550"/>
      <c r="J55" s="536"/>
      <c r="K55" s="548" t="s">
        <v>758</v>
      </c>
      <c r="L55" s="550">
        <v>1000</v>
      </c>
      <c r="M55" s="550"/>
      <c r="N55" s="550"/>
      <c r="O55" s="536"/>
      <c r="P55" s="548" t="s">
        <v>758</v>
      </c>
      <c r="Q55" s="550">
        <v>1000</v>
      </c>
      <c r="R55" s="550"/>
      <c r="S55" s="550"/>
      <c r="U55" s="548" t="s">
        <v>758</v>
      </c>
      <c r="V55" s="550">
        <v>1000</v>
      </c>
      <c r="W55" s="550"/>
      <c r="X55" s="550"/>
      <c r="Z55" s="548" t="s">
        <v>758</v>
      </c>
      <c r="AA55" s="550">
        <v>1000</v>
      </c>
      <c r="AB55" s="550"/>
      <c r="AC55" s="550"/>
      <c r="AE55" s="548" t="s">
        <v>758</v>
      </c>
      <c r="AF55" s="550">
        <v>1000</v>
      </c>
      <c r="AG55" s="550"/>
      <c r="AH55" s="550"/>
    </row>
    <row r="56" spans="1:34" ht="17" thickBot="1">
      <c r="A56" s="552" t="s">
        <v>188</v>
      </c>
      <c r="B56" s="550">
        <v>36</v>
      </c>
      <c r="C56" s="550"/>
      <c r="D56" s="553"/>
      <c r="E56" s="536"/>
      <c r="F56" s="552" t="s">
        <v>188</v>
      </c>
      <c r="G56" s="550">
        <v>36</v>
      </c>
      <c r="H56" s="550"/>
      <c r="I56" s="553"/>
      <c r="J56" s="536"/>
      <c r="K56" s="552" t="s">
        <v>188</v>
      </c>
      <c r="L56" s="550">
        <v>36</v>
      </c>
      <c r="M56" s="550"/>
      <c r="N56" s="553"/>
      <c r="O56" s="536"/>
      <c r="P56" s="552" t="s">
        <v>188</v>
      </c>
      <c r="Q56" s="550">
        <v>36</v>
      </c>
      <c r="R56" s="550"/>
      <c r="S56" s="553"/>
      <c r="U56" s="552" t="s">
        <v>188</v>
      </c>
      <c r="V56" s="550">
        <v>36</v>
      </c>
      <c r="W56" s="550"/>
      <c r="X56" s="553"/>
      <c r="Z56" s="552" t="s">
        <v>188</v>
      </c>
      <c r="AA56" s="550">
        <v>36</v>
      </c>
      <c r="AB56" s="550"/>
      <c r="AC56" s="553"/>
      <c r="AE56" s="552" t="s">
        <v>188</v>
      </c>
      <c r="AF56" s="550">
        <v>36</v>
      </c>
      <c r="AG56" s="550"/>
      <c r="AH56" s="553"/>
    </row>
    <row r="57" spans="1:34" ht="16" thickBot="1">
      <c r="A57" s="548" t="s">
        <v>759</v>
      </c>
      <c r="B57" s="549">
        <f>B55*B56</f>
        <v>18000</v>
      </c>
      <c r="C57" s="554"/>
      <c r="D57" s="555"/>
      <c r="E57" s="536"/>
      <c r="F57" s="548" t="s">
        <v>759</v>
      </c>
      <c r="G57" s="549">
        <f>G55*G56</f>
        <v>27000</v>
      </c>
      <c r="H57" s="554"/>
      <c r="I57" s="555"/>
      <c r="J57" s="536"/>
      <c r="K57" s="548" t="s">
        <v>759</v>
      </c>
      <c r="L57" s="549">
        <f>L55*L56</f>
        <v>36000</v>
      </c>
      <c r="M57" s="554"/>
      <c r="N57" s="555"/>
      <c r="O57" s="536"/>
      <c r="P57" s="548" t="s">
        <v>759</v>
      </c>
      <c r="Q57" s="549">
        <f>Q55*Q56</f>
        <v>36000</v>
      </c>
      <c r="R57" s="554"/>
      <c r="S57" s="555"/>
      <c r="U57" s="548" t="s">
        <v>759</v>
      </c>
      <c r="V57" s="549">
        <f>V55*V56</f>
        <v>36000</v>
      </c>
      <c r="W57" s="554"/>
      <c r="X57" s="555"/>
      <c r="Z57" s="548" t="s">
        <v>759</v>
      </c>
      <c r="AA57" s="549">
        <f>AA55*AA56</f>
        <v>36000</v>
      </c>
      <c r="AB57" s="554"/>
      <c r="AC57" s="555"/>
      <c r="AE57" s="548" t="s">
        <v>759</v>
      </c>
      <c r="AF57" s="549">
        <f>AF55*AF56</f>
        <v>36000</v>
      </c>
      <c r="AG57" s="554"/>
      <c r="AH57" s="555"/>
    </row>
    <row r="58" spans="1:34" ht="16" thickBot="1">
      <c r="A58" s="548" t="s">
        <v>192</v>
      </c>
      <c r="B58" s="550">
        <v>1</v>
      </c>
      <c r="C58" s="554"/>
      <c r="D58" s="557"/>
      <c r="E58" s="536"/>
      <c r="F58" s="548" t="s">
        <v>192</v>
      </c>
      <c r="G58" s="550">
        <v>1</v>
      </c>
      <c r="H58" s="554"/>
      <c r="I58" s="557"/>
      <c r="J58" s="536"/>
      <c r="K58" s="548" t="s">
        <v>192</v>
      </c>
      <c r="L58" s="550">
        <v>1</v>
      </c>
      <c r="M58" s="554"/>
      <c r="N58" s="557"/>
      <c r="O58" s="536"/>
      <c r="P58" s="548" t="s">
        <v>192</v>
      </c>
      <c r="Q58" s="550">
        <v>1</v>
      </c>
      <c r="R58" s="554"/>
      <c r="S58" s="557"/>
      <c r="U58" s="548" t="s">
        <v>192</v>
      </c>
      <c r="V58" s="550">
        <v>1</v>
      </c>
      <c r="W58" s="554"/>
      <c r="X58" s="557"/>
      <c r="Z58" s="548" t="s">
        <v>192</v>
      </c>
      <c r="AA58" s="550">
        <v>1</v>
      </c>
      <c r="AB58" s="554"/>
      <c r="AC58" s="557"/>
      <c r="AE58" s="548" t="s">
        <v>192</v>
      </c>
      <c r="AF58" s="550">
        <v>1</v>
      </c>
      <c r="AG58" s="554"/>
      <c r="AH58" s="557"/>
    </row>
    <row r="59" spans="1:34" ht="16" thickBot="1">
      <c r="A59" s="559" t="s">
        <v>195</v>
      </c>
      <c r="B59" s="550">
        <v>20</v>
      </c>
      <c r="C59" s="550"/>
      <c r="D59" s="550"/>
      <c r="E59" s="536"/>
      <c r="F59" s="559" t="s">
        <v>195</v>
      </c>
      <c r="G59" s="550">
        <v>20</v>
      </c>
      <c r="H59" s="550"/>
      <c r="I59" s="550"/>
      <c r="J59" s="536"/>
      <c r="K59" s="559" t="s">
        <v>195</v>
      </c>
      <c r="L59" s="550">
        <v>20</v>
      </c>
      <c r="M59" s="550"/>
      <c r="N59" s="550"/>
      <c r="O59" s="536"/>
      <c r="P59" s="559" t="s">
        <v>195</v>
      </c>
      <c r="Q59" s="550">
        <v>20</v>
      </c>
      <c r="R59" s="550"/>
      <c r="S59" s="550"/>
      <c r="U59" s="559" t="s">
        <v>195</v>
      </c>
      <c r="V59" s="550">
        <v>20</v>
      </c>
      <c r="W59" s="550"/>
      <c r="X59" s="550"/>
      <c r="Z59" s="559" t="s">
        <v>195</v>
      </c>
      <c r="AA59" s="550">
        <v>20</v>
      </c>
      <c r="AB59" s="550"/>
      <c r="AC59" s="550"/>
      <c r="AE59" s="559" t="s">
        <v>195</v>
      </c>
      <c r="AF59" s="550">
        <v>20</v>
      </c>
      <c r="AG59" s="550"/>
      <c r="AH59" s="550"/>
    </row>
    <row r="60" spans="1:34" ht="16" thickBot="1">
      <c r="A60" s="548" t="s">
        <v>761</v>
      </c>
      <c r="B60" s="549">
        <f>B57*B58</f>
        <v>18000</v>
      </c>
      <c r="C60" s="550"/>
      <c r="D60" s="550"/>
      <c r="E60" s="536"/>
      <c r="F60" s="548" t="s">
        <v>761</v>
      </c>
      <c r="G60" s="549">
        <f>G57*G58</f>
        <v>27000</v>
      </c>
      <c r="H60" s="550"/>
      <c r="I60" s="550"/>
      <c r="J60" s="536"/>
      <c r="K60" s="548" t="s">
        <v>761</v>
      </c>
      <c r="L60" s="549">
        <f>L57*L58</f>
        <v>36000</v>
      </c>
      <c r="M60" s="550"/>
      <c r="N60" s="550"/>
      <c r="O60" s="536"/>
      <c r="P60" s="548" t="s">
        <v>761</v>
      </c>
      <c r="Q60" s="549">
        <f>Q57*Q58</f>
        <v>36000</v>
      </c>
      <c r="R60" s="550"/>
      <c r="S60" s="550"/>
      <c r="U60" s="548" t="s">
        <v>761</v>
      </c>
      <c r="V60" s="549">
        <f>V57*V58</f>
        <v>36000</v>
      </c>
      <c r="W60" s="550"/>
      <c r="X60" s="550"/>
      <c r="Z60" s="548" t="s">
        <v>761</v>
      </c>
      <c r="AA60" s="549">
        <f>AA57*AA58</f>
        <v>36000</v>
      </c>
      <c r="AB60" s="550"/>
      <c r="AC60" s="550"/>
      <c r="AE60" s="548" t="s">
        <v>761</v>
      </c>
      <c r="AF60" s="549">
        <f>AF57*AF58</f>
        <v>36000</v>
      </c>
      <c r="AG60" s="550"/>
      <c r="AH60" s="550"/>
    </row>
    <row r="61" spans="1:34" ht="16" thickBot="1">
      <c r="A61" s="548" t="s">
        <v>762</v>
      </c>
      <c r="B61" s="549">
        <f>B60*B59</f>
        <v>360000</v>
      </c>
      <c r="C61" s="550"/>
      <c r="D61" s="550"/>
      <c r="E61" s="536"/>
      <c r="F61" s="548" t="s">
        <v>762</v>
      </c>
      <c r="G61" s="549">
        <f>G60*G59</f>
        <v>540000</v>
      </c>
      <c r="H61" s="550"/>
      <c r="I61" s="550"/>
      <c r="J61" s="536"/>
      <c r="K61" s="548" t="s">
        <v>762</v>
      </c>
      <c r="L61" s="549">
        <f>L60*L59</f>
        <v>720000</v>
      </c>
      <c r="M61" s="550"/>
      <c r="N61" s="550"/>
      <c r="O61" s="536"/>
      <c r="P61" s="548" t="s">
        <v>762</v>
      </c>
      <c r="Q61" s="549">
        <f>Q60*Q59</f>
        <v>720000</v>
      </c>
      <c r="R61" s="550"/>
      <c r="S61" s="550"/>
      <c r="U61" s="548" t="s">
        <v>762</v>
      </c>
      <c r="V61" s="549">
        <f>V60*V59</f>
        <v>720000</v>
      </c>
      <c r="W61" s="550"/>
      <c r="X61" s="550"/>
      <c r="Z61" s="548" t="s">
        <v>762</v>
      </c>
      <c r="AA61" s="549">
        <f>AA60*AA59</f>
        <v>720000</v>
      </c>
      <c r="AB61" s="550"/>
      <c r="AC61" s="550"/>
      <c r="AE61" s="548" t="s">
        <v>762</v>
      </c>
      <c r="AF61" s="549">
        <f>AF60*AF59</f>
        <v>720000</v>
      </c>
      <c r="AG61" s="550"/>
      <c r="AH61" s="550"/>
    </row>
    <row r="62" spans="1:34" ht="16" thickBot="1">
      <c r="A62" s="548" t="s">
        <v>763</v>
      </c>
      <c r="B62" s="561">
        <f>C66/B61</f>
        <v>0.49975000000000003</v>
      </c>
      <c r="C62" s="550"/>
      <c r="D62" s="562"/>
      <c r="E62" s="536"/>
      <c r="F62" s="548" t="s">
        <v>763</v>
      </c>
      <c r="G62" s="561">
        <f>H66/G61</f>
        <v>0.49975000000000003</v>
      </c>
      <c r="H62" s="550"/>
      <c r="I62" s="562"/>
      <c r="J62" s="536"/>
      <c r="K62" s="548" t="s">
        <v>763</v>
      </c>
      <c r="L62" s="561">
        <f>M66/L61</f>
        <v>0.49975000000000003</v>
      </c>
      <c r="M62" s="550"/>
      <c r="N62" s="562"/>
      <c r="O62" s="536"/>
      <c r="P62" s="548" t="s">
        <v>763</v>
      </c>
      <c r="Q62" s="561">
        <f>R66/Q61</f>
        <v>0.49975000000000003</v>
      </c>
      <c r="R62" s="550"/>
      <c r="S62" s="562"/>
      <c r="U62" s="548" t="s">
        <v>763</v>
      </c>
      <c r="V62" s="561">
        <f>W66/V61</f>
        <v>0.49975000000000003</v>
      </c>
      <c r="W62" s="550"/>
      <c r="X62" s="562"/>
      <c r="Z62" s="548" t="s">
        <v>763</v>
      </c>
      <c r="AA62" s="561">
        <f>AB66/AA61</f>
        <v>0.49975000000000003</v>
      </c>
      <c r="AB62" s="550"/>
      <c r="AC62" s="562"/>
      <c r="AE62" s="548" t="s">
        <v>763</v>
      </c>
      <c r="AF62" s="561">
        <f>AG66/AF61</f>
        <v>0.49975000000000003</v>
      </c>
      <c r="AG62" s="550"/>
      <c r="AH62" s="562"/>
    </row>
    <row r="63" spans="1:34" ht="16" thickBot="1">
      <c r="A63" s="563"/>
      <c r="B63" s="564" t="s">
        <v>250</v>
      </c>
      <c r="C63" s="564" t="s">
        <v>764</v>
      </c>
      <c r="D63" s="564" t="s">
        <v>18</v>
      </c>
      <c r="E63" s="536"/>
      <c r="F63" s="563"/>
      <c r="G63" s="564" t="s">
        <v>250</v>
      </c>
      <c r="H63" s="564" t="s">
        <v>764</v>
      </c>
      <c r="I63" s="564" t="s">
        <v>18</v>
      </c>
      <c r="J63" s="536"/>
      <c r="K63" s="563"/>
      <c r="L63" s="564" t="s">
        <v>250</v>
      </c>
      <c r="M63" s="564" t="s">
        <v>764</v>
      </c>
      <c r="N63" s="564" t="s">
        <v>18</v>
      </c>
      <c r="O63" s="536"/>
      <c r="P63" s="563"/>
      <c r="Q63" s="564" t="s">
        <v>250</v>
      </c>
      <c r="R63" s="564" t="s">
        <v>764</v>
      </c>
      <c r="S63" s="564" t="s">
        <v>18</v>
      </c>
      <c r="U63" s="563"/>
      <c r="V63" s="564" t="s">
        <v>250</v>
      </c>
      <c r="W63" s="564" t="s">
        <v>764</v>
      </c>
      <c r="X63" s="564" t="s">
        <v>18</v>
      </c>
      <c r="Z63" s="563"/>
      <c r="AA63" s="564" t="s">
        <v>250</v>
      </c>
      <c r="AB63" s="564" t="s">
        <v>764</v>
      </c>
      <c r="AC63" s="564" t="s">
        <v>18</v>
      </c>
      <c r="AE63" s="563"/>
      <c r="AF63" s="564" t="s">
        <v>250</v>
      </c>
      <c r="AG63" s="564" t="s">
        <v>764</v>
      </c>
      <c r="AH63" s="564" t="s">
        <v>18</v>
      </c>
    </row>
    <row r="64" spans="1:34" ht="16" thickBot="1">
      <c r="A64" s="565" t="s">
        <v>765</v>
      </c>
      <c r="B64" s="566">
        <f>ROUND(C64*$B$87,2)</f>
        <v>4</v>
      </c>
      <c r="C64" s="567">
        <f>ROUND(D64*'Model Assumptions'!$D$31,2)</f>
        <v>10</v>
      </c>
      <c r="D64" s="567">
        <f>C53</f>
        <v>19.989999999999998</v>
      </c>
      <c r="E64" s="536"/>
      <c r="F64" s="565" t="s">
        <v>765</v>
      </c>
      <c r="G64" s="566">
        <f>ROUND(H64*$B$87,2)</f>
        <v>4</v>
      </c>
      <c r="H64" s="567">
        <f>ROUND(I64*'Model Assumptions'!$D$31,2)</f>
        <v>10</v>
      </c>
      <c r="I64" s="567">
        <f>H53</f>
        <v>19.989999999999998</v>
      </c>
      <c r="J64" s="536"/>
      <c r="K64" s="565" t="s">
        <v>765</v>
      </c>
      <c r="L64" s="566">
        <f>ROUND(M64*$B$87,2)</f>
        <v>4</v>
      </c>
      <c r="M64" s="567">
        <f>ROUND(N64*'Model Assumptions'!$D$31,2)</f>
        <v>10</v>
      </c>
      <c r="N64" s="567">
        <f>M53</f>
        <v>19.989999999999998</v>
      </c>
      <c r="O64" s="536"/>
      <c r="P64" s="565" t="s">
        <v>765</v>
      </c>
      <c r="Q64" s="566">
        <f>ROUND(R64*$B$87,2)</f>
        <v>4</v>
      </c>
      <c r="R64" s="567">
        <f>ROUND(S64*'Model Assumptions'!$D$31,2)</f>
        <v>10</v>
      </c>
      <c r="S64" s="567">
        <f>R53</f>
        <v>19.989999999999998</v>
      </c>
      <c r="U64" s="565" t="s">
        <v>765</v>
      </c>
      <c r="V64" s="566">
        <f>ROUND(W64*$B$87,2)</f>
        <v>4</v>
      </c>
      <c r="W64" s="567">
        <f>ROUND(X64*'Model Assumptions'!$D$31,2)</f>
        <v>10</v>
      </c>
      <c r="X64" s="567">
        <f>W53</f>
        <v>19.989999999999998</v>
      </c>
      <c r="Z64" s="565" t="s">
        <v>765</v>
      </c>
      <c r="AA64" s="566">
        <f>ROUND(AB64*$B$87,2)</f>
        <v>4</v>
      </c>
      <c r="AB64" s="567">
        <f>ROUND(AC64*'Model Assumptions'!$D$31,2)</f>
        <v>10</v>
      </c>
      <c r="AC64" s="567">
        <f>AB53</f>
        <v>19.989999999999998</v>
      </c>
      <c r="AE64" s="565" t="s">
        <v>765</v>
      </c>
      <c r="AF64" s="566">
        <f>ROUND(AG64*$B$87,2)</f>
        <v>4</v>
      </c>
      <c r="AG64" s="567">
        <f>ROUND(AH64*'Model Assumptions'!$D$31,2)</f>
        <v>10</v>
      </c>
      <c r="AH64" s="567">
        <f>AG53</f>
        <v>19.989999999999998</v>
      </c>
    </row>
    <row r="65" spans="1:34" ht="16" thickBot="1">
      <c r="A65" s="565" t="s">
        <v>766</v>
      </c>
      <c r="B65" s="566">
        <f>ROUND(C65*$B$87,2)</f>
        <v>143.93</v>
      </c>
      <c r="C65" s="568">
        <f>ROUND(D65*'Model Assumptions'!$D$31,2)</f>
        <v>359.82</v>
      </c>
      <c r="D65" s="568">
        <f>ROUND(D64*B56,2)</f>
        <v>719.64</v>
      </c>
      <c r="E65" s="536"/>
      <c r="F65" s="565" t="s">
        <v>766</v>
      </c>
      <c r="G65" s="566">
        <f>ROUND(H65*$B$87,2)</f>
        <v>143.93</v>
      </c>
      <c r="H65" s="568">
        <f>ROUND(I65*'Model Assumptions'!$D$31,2)</f>
        <v>359.82</v>
      </c>
      <c r="I65" s="568">
        <f>ROUND(I64*G56,2)</f>
        <v>719.64</v>
      </c>
      <c r="J65" s="536"/>
      <c r="K65" s="565" t="s">
        <v>766</v>
      </c>
      <c r="L65" s="566">
        <f>ROUND(M65*$B$87,2)</f>
        <v>143.93</v>
      </c>
      <c r="M65" s="568">
        <f>ROUND(N65*'Model Assumptions'!$D$31,2)</f>
        <v>359.82</v>
      </c>
      <c r="N65" s="568">
        <f>ROUND(N64*L56,2)</f>
        <v>719.64</v>
      </c>
      <c r="O65" s="536"/>
      <c r="P65" s="565" t="s">
        <v>766</v>
      </c>
      <c r="Q65" s="566">
        <f>ROUND(R65*$B$87,2)</f>
        <v>143.93</v>
      </c>
      <c r="R65" s="568">
        <f>ROUND(S65*'Model Assumptions'!$D$31,2)</f>
        <v>359.82</v>
      </c>
      <c r="S65" s="568">
        <f>ROUND(S64*Q56,2)</f>
        <v>719.64</v>
      </c>
      <c r="U65" s="565" t="s">
        <v>766</v>
      </c>
      <c r="V65" s="566">
        <f>ROUND(W65*$B$87,2)</f>
        <v>143.93</v>
      </c>
      <c r="W65" s="568">
        <f>ROUND(X65*'Model Assumptions'!$D$31,2)</f>
        <v>359.82</v>
      </c>
      <c r="X65" s="568">
        <f>ROUND(X64*V56,2)</f>
        <v>719.64</v>
      </c>
      <c r="Z65" s="565" t="s">
        <v>766</v>
      </c>
      <c r="AA65" s="566">
        <f>ROUND(AB65*$B$87,2)</f>
        <v>143.93</v>
      </c>
      <c r="AB65" s="568">
        <f>ROUND(AC65*'Model Assumptions'!$D$31,2)</f>
        <v>359.82</v>
      </c>
      <c r="AC65" s="568">
        <f>ROUND(AC64*AA56,2)</f>
        <v>719.64</v>
      </c>
      <c r="AE65" s="565" t="s">
        <v>766</v>
      </c>
      <c r="AF65" s="566">
        <f>ROUND(AG65*$B$87,2)</f>
        <v>143.93</v>
      </c>
      <c r="AG65" s="568">
        <f>ROUND(AH65*'Model Assumptions'!$D$31,2)</f>
        <v>359.82</v>
      </c>
      <c r="AH65" s="568">
        <f>ROUND(AH64*AF56,2)</f>
        <v>719.64</v>
      </c>
    </row>
    <row r="66" spans="1:34" ht="16" thickBot="1">
      <c r="A66" s="565" t="s">
        <v>767</v>
      </c>
      <c r="B66" s="566">
        <f>ROUND(B65*$B55,2)</f>
        <v>71965</v>
      </c>
      <c r="C66" s="568">
        <f>ROUND(C65*$B55,2)</f>
        <v>179910</v>
      </c>
      <c r="D66" s="568">
        <f>ROUND(D65*B55,2)</f>
        <v>359820</v>
      </c>
      <c r="E66" s="536"/>
      <c r="F66" s="565" t="s">
        <v>767</v>
      </c>
      <c r="G66" s="566">
        <f>ROUND(G65*G55,2)</f>
        <v>107947.5</v>
      </c>
      <c r="H66" s="568">
        <f>ROUND(H65*G55,2)</f>
        <v>269865</v>
      </c>
      <c r="I66" s="568">
        <f>ROUND(I65*G55,2)</f>
        <v>539730</v>
      </c>
      <c r="J66" s="536"/>
      <c r="K66" s="565" t="s">
        <v>767</v>
      </c>
      <c r="L66" s="566">
        <f>ROUND(L65*L55,2)</f>
        <v>143930</v>
      </c>
      <c r="M66" s="568">
        <f>ROUND(M65*L55,2)</f>
        <v>359820</v>
      </c>
      <c r="N66" s="568">
        <f>ROUND(N65*L55,2)</f>
        <v>719640</v>
      </c>
      <c r="O66" s="536"/>
      <c r="P66" s="565" t="s">
        <v>767</v>
      </c>
      <c r="Q66" s="566">
        <f>ROUND(Q65*Q55,2)</f>
        <v>143930</v>
      </c>
      <c r="R66" s="568">
        <f>ROUND(R65*Q55,2)</f>
        <v>359820</v>
      </c>
      <c r="S66" s="568">
        <f>ROUND(S65*Q55,2)</f>
        <v>719640</v>
      </c>
      <c r="U66" s="565" t="s">
        <v>767</v>
      </c>
      <c r="V66" s="566">
        <f>ROUND(V65*V55,2)</f>
        <v>143930</v>
      </c>
      <c r="W66" s="568">
        <f>ROUND(W65*V55,2)</f>
        <v>359820</v>
      </c>
      <c r="X66" s="568">
        <f>ROUND(X65*V55,2)</f>
        <v>719640</v>
      </c>
      <c r="Z66" s="565" t="s">
        <v>767</v>
      </c>
      <c r="AA66" s="566">
        <f>ROUND(AA65*AA55,2)</f>
        <v>143930</v>
      </c>
      <c r="AB66" s="568">
        <f>ROUND(AB65*AA55,2)</f>
        <v>359820</v>
      </c>
      <c r="AC66" s="568">
        <f>ROUND(AC65*AA55,2)</f>
        <v>719640</v>
      </c>
      <c r="AE66" s="565" t="s">
        <v>767</v>
      </c>
      <c r="AF66" s="566">
        <f>ROUND(AF65*AF55,2)</f>
        <v>143930</v>
      </c>
      <c r="AG66" s="568">
        <f>ROUND(AG65*AF55,2)</f>
        <v>359820</v>
      </c>
      <c r="AH66" s="568">
        <f>ROUND(AH65*AF55,2)</f>
        <v>719640</v>
      </c>
    </row>
    <row r="67" spans="1:34" ht="16" thickBot="1">
      <c r="A67" s="536"/>
      <c r="B67" s="536"/>
      <c r="C67" s="536"/>
      <c r="D67" s="536"/>
      <c r="E67" s="536"/>
      <c r="F67" s="536"/>
      <c r="G67" s="536"/>
      <c r="H67" s="536"/>
      <c r="I67" s="536"/>
      <c r="J67" s="536"/>
      <c r="K67" s="536"/>
      <c r="L67" s="536"/>
      <c r="M67" s="536"/>
      <c r="N67" s="536"/>
      <c r="O67" s="536"/>
      <c r="P67" s="536"/>
      <c r="Q67" s="536"/>
      <c r="R67" s="536"/>
      <c r="S67" s="536"/>
      <c r="U67" s="536"/>
      <c r="V67" s="536"/>
      <c r="W67" s="536"/>
      <c r="X67" s="536"/>
      <c r="Z67" s="536"/>
      <c r="AA67" s="536"/>
      <c r="AB67" s="536"/>
      <c r="AC67" s="536"/>
      <c r="AE67" s="536"/>
      <c r="AF67" s="536"/>
      <c r="AG67" s="536"/>
      <c r="AH67" s="536"/>
    </row>
    <row r="68" spans="1:34" ht="16" thickBot="1">
      <c r="A68" s="536"/>
      <c r="B68" s="536"/>
      <c r="C68" s="541" t="s">
        <v>754</v>
      </c>
      <c r="D68" s="542"/>
      <c r="E68" s="536"/>
      <c r="F68" s="536"/>
      <c r="G68" s="536"/>
      <c r="H68" s="541" t="s">
        <v>754</v>
      </c>
      <c r="I68" s="542"/>
      <c r="J68" s="536"/>
      <c r="K68" s="536"/>
      <c r="L68" s="536"/>
      <c r="M68" s="541" t="s">
        <v>754</v>
      </c>
      <c r="N68" s="542"/>
      <c r="O68" s="536"/>
      <c r="P68" s="536"/>
      <c r="Q68" s="536"/>
      <c r="R68" s="541" t="s">
        <v>754</v>
      </c>
      <c r="S68" s="542"/>
      <c r="U68" s="536"/>
      <c r="V68" s="536"/>
      <c r="W68" s="541" t="s">
        <v>754</v>
      </c>
      <c r="X68" s="542"/>
      <c r="Z68" s="536"/>
      <c r="AA68" s="536"/>
      <c r="AB68" s="541" t="s">
        <v>754</v>
      </c>
      <c r="AC68" s="542"/>
      <c r="AE68" s="536"/>
      <c r="AF68" s="536"/>
      <c r="AG68" s="541" t="s">
        <v>754</v>
      </c>
      <c r="AH68" s="542"/>
    </row>
    <row r="69" spans="1:34" s="546" customFormat="1" ht="32">
      <c r="A69" s="544" t="s">
        <v>772</v>
      </c>
      <c r="B69" s="1164" t="s">
        <v>18</v>
      </c>
      <c r="C69" s="1166">
        <v>499.99</v>
      </c>
      <c r="D69" s="1164"/>
      <c r="E69" s="1169"/>
      <c r="F69" s="544" t="s">
        <v>772</v>
      </c>
      <c r="G69" s="1164" t="s">
        <v>18</v>
      </c>
      <c r="H69" s="1170">
        <v>499.99</v>
      </c>
      <c r="I69" s="1164"/>
      <c r="J69" s="1169"/>
      <c r="K69" s="544" t="s">
        <v>772</v>
      </c>
      <c r="L69" s="1164" t="s">
        <v>18</v>
      </c>
      <c r="M69" s="1166">
        <v>499.99</v>
      </c>
      <c r="N69" s="1164"/>
      <c r="O69" s="1168"/>
      <c r="P69" s="544" t="s">
        <v>772</v>
      </c>
      <c r="Q69" s="1164" t="s">
        <v>18</v>
      </c>
      <c r="R69" s="1166">
        <v>499.99</v>
      </c>
      <c r="S69" s="1164"/>
      <c r="U69" s="544" t="s">
        <v>772</v>
      </c>
      <c r="V69" s="1164" t="s">
        <v>18</v>
      </c>
      <c r="W69" s="1166">
        <v>499.99</v>
      </c>
      <c r="X69" s="1164"/>
      <c r="Z69" s="544" t="s">
        <v>772</v>
      </c>
      <c r="AA69" s="1164" t="s">
        <v>18</v>
      </c>
      <c r="AB69" s="1166">
        <v>499.99</v>
      </c>
      <c r="AC69" s="1164"/>
      <c r="AE69" s="544" t="s">
        <v>772</v>
      </c>
      <c r="AF69" s="1164" t="s">
        <v>18</v>
      </c>
      <c r="AG69" s="1166">
        <v>499.99</v>
      </c>
      <c r="AH69" s="1164"/>
    </row>
    <row r="70" spans="1:34" s="546" customFormat="1" ht="16" thickBot="1">
      <c r="A70" s="547" t="s">
        <v>773</v>
      </c>
      <c r="B70" s="1165"/>
      <c r="C70" s="1167"/>
      <c r="D70" s="1165"/>
      <c r="E70" s="1169"/>
      <c r="F70" s="547" t="s">
        <v>773</v>
      </c>
      <c r="G70" s="1165"/>
      <c r="H70" s="1171"/>
      <c r="I70" s="1165"/>
      <c r="J70" s="1169"/>
      <c r="K70" s="547" t="s">
        <v>773</v>
      </c>
      <c r="L70" s="1165"/>
      <c r="M70" s="1167"/>
      <c r="N70" s="1165"/>
      <c r="O70" s="1168"/>
      <c r="P70" s="547" t="s">
        <v>773</v>
      </c>
      <c r="Q70" s="1165"/>
      <c r="R70" s="1167"/>
      <c r="S70" s="1165"/>
      <c r="U70" s="547" t="s">
        <v>773</v>
      </c>
      <c r="V70" s="1165"/>
      <c r="W70" s="1167"/>
      <c r="X70" s="1165"/>
      <c r="Z70" s="547" t="s">
        <v>773</v>
      </c>
      <c r="AA70" s="1165"/>
      <c r="AB70" s="1167"/>
      <c r="AC70" s="1165"/>
      <c r="AE70" s="547" t="s">
        <v>773</v>
      </c>
      <c r="AF70" s="1165"/>
      <c r="AG70" s="1167"/>
      <c r="AH70" s="1165"/>
    </row>
    <row r="71" spans="1:34" ht="16" thickBot="1">
      <c r="A71" s="548" t="s">
        <v>759</v>
      </c>
      <c r="B71" s="550">
        <v>1000</v>
      </c>
      <c r="C71" s="550"/>
      <c r="D71" s="562"/>
      <c r="E71" s="536"/>
      <c r="F71" s="548" t="s">
        <v>759</v>
      </c>
      <c r="G71" s="550">
        <v>1000</v>
      </c>
      <c r="H71" s="550"/>
      <c r="I71" s="562"/>
      <c r="J71" s="536"/>
      <c r="K71" s="548" t="s">
        <v>759</v>
      </c>
      <c r="L71" s="550">
        <v>1000</v>
      </c>
      <c r="M71" s="550"/>
      <c r="N71" s="562"/>
      <c r="O71" s="536"/>
      <c r="P71" s="548" t="s">
        <v>759</v>
      </c>
      <c r="Q71" s="550">
        <v>1000</v>
      </c>
      <c r="R71" s="550"/>
      <c r="S71" s="562"/>
      <c r="U71" s="548" t="s">
        <v>759</v>
      </c>
      <c r="V71" s="550">
        <v>1000</v>
      </c>
      <c r="W71" s="550"/>
      <c r="X71" s="562"/>
      <c r="Z71" s="548" t="s">
        <v>759</v>
      </c>
      <c r="AA71" s="550">
        <v>1000</v>
      </c>
      <c r="AB71" s="550"/>
      <c r="AC71" s="562"/>
      <c r="AE71" s="548" t="s">
        <v>759</v>
      </c>
      <c r="AF71" s="550">
        <v>1000</v>
      </c>
      <c r="AG71" s="550"/>
      <c r="AH71" s="562"/>
    </row>
    <row r="72" spans="1:34" ht="16" thickBot="1">
      <c r="A72" s="548" t="s">
        <v>774</v>
      </c>
      <c r="B72" s="550">
        <v>300</v>
      </c>
      <c r="C72" s="550"/>
      <c r="D72" s="550"/>
      <c r="E72" s="536"/>
      <c r="F72" s="548" t="s">
        <v>774</v>
      </c>
      <c r="G72" s="550">
        <v>300</v>
      </c>
      <c r="H72" s="550"/>
      <c r="I72" s="550"/>
      <c r="J72" s="536"/>
      <c r="K72" s="548" t="s">
        <v>774</v>
      </c>
      <c r="L72" s="550">
        <v>300</v>
      </c>
      <c r="M72" s="550"/>
      <c r="N72" s="550"/>
      <c r="O72" s="536"/>
      <c r="P72" s="548" t="s">
        <v>774</v>
      </c>
      <c r="Q72" s="550">
        <v>300</v>
      </c>
      <c r="R72" s="550"/>
      <c r="S72" s="550"/>
      <c r="U72" s="548" t="s">
        <v>774</v>
      </c>
      <c r="V72" s="550">
        <v>300</v>
      </c>
      <c r="W72" s="550"/>
      <c r="X72" s="550"/>
      <c r="Z72" s="548" t="s">
        <v>774</v>
      </c>
      <c r="AA72" s="550">
        <v>300</v>
      </c>
      <c r="AB72" s="550"/>
      <c r="AC72" s="550"/>
      <c r="AE72" s="548" t="s">
        <v>774</v>
      </c>
      <c r="AF72" s="550">
        <v>300</v>
      </c>
      <c r="AG72" s="550"/>
      <c r="AH72" s="550"/>
    </row>
    <row r="73" spans="1:34" ht="16" thickBot="1">
      <c r="A73" s="548" t="s">
        <v>762</v>
      </c>
      <c r="B73" s="549">
        <f>B71*B72</f>
        <v>300000</v>
      </c>
      <c r="C73" s="550"/>
      <c r="D73" s="550"/>
      <c r="E73" s="536"/>
      <c r="F73" s="548" t="s">
        <v>762</v>
      </c>
      <c r="G73" s="549">
        <f>G71*G72</f>
        <v>300000</v>
      </c>
      <c r="H73" s="550"/>
      <c r="I73" s="550"/>
      <c r="J73" s="536"/>
      <c r="K73" s="548" t="s">
        <v>762</v>
      </c>
      <c r="L73" s="549">
        <f>L71*L72</f>
        <v>300000</v>
      </c>
      <c r="M73" s="550"/>
      <c r="N73" s="550"/>
      <c r="O73" s="536"/>
      <c r="P73" s="548" t="s">
        <v>762</v>
      </c>
      <c r="Q73" s="549">
        <f>Q71*Q72</f>
        <v>300000</v>
      </c>
      <c r="R73" s="550"/>
      <c r="S73" s="550"/>
      <c r="U73" s="548" t="s">
        <v>762</v>
      </c>
      <c r="V73" s="549">
        <f>V71*V72</f>
        <v>300000</v>
      </c>
      <c r="W73" s="550"/>
      <c r="X73" s="550"/>
      <c r="Z73" s="548" t="s">
        <v>762</v>
      </c>
      <c r="AA73" s="549">
        <f>AA71*AA72</f>
        <v>300000</v>
      </c>
      <c r="AB73" s="550"/>
      <c r="AC73" s="550"/>
      <c r="AE73" s="548" t="s">
        <v>762</v>
      </c>
      <c r="AF73" s="549">
        <f>AF71*AF72</f>
        <v>300000</v>
      </c>
      <c r="AG73" s="550"/>
      <c r="AH73" s="550"/>
    </row>
    <row r="74" spans="1:34" ht="16" thickBot="1">
      <c r="A74" s="548" t="s">
        <v>763</v>
      </c>
      <c r="B74" s="562">
        <f>D77/B73</f>
        <v>1.6666333333333334</v>
      </c>
      <c r="C74" s="550"/>
      <c r="D74" s="562"/>
      <c r="E74" s="536"/>
      <c r="F74" s="548" t="s">
        <v>763</v>
      </c>
      <c r="G74" s="562">
        <f>I77/G73</f>
        <v>1.6666333333333334</v>
      </c>
      <c r="H74" s="550"/>
      <c r="I74" s="562"/>
      <c r="J74" s="536"/>
      <c r="K74" s="548" t="s">
        <v>763</v>
      </c>
      <c r="L74" s="562">
        <f>N77/L73</f>
        <v>1.6666333333333334</v>
      </c>
      <c r="M74" s="550"/>
      <c r="N74" s="562"/>
      <c r="O74" s="536"/>
      <c r="P74" s="548" t="s">
        <v>763</v>
      </c>
      <c r="Q74" s="562">
        <f>S77/Q73</f>
        <v>1.6666333333333334</v>
      </c>
      <c r="R74" s="550"/>
      <c r="S74" s="562"/>
      <c r="U74" s="548" t="s">
        <v>763</v>
      </c>
      <c r="V74" s="562">
        <f>X77/V73</f>
        <v>1.6666333333333334</v>
      </c>
      <c r="W74" s="550"/>
      <c r="X74" s="562"/>
      <c r="Z74" s="548" t="s">
        <v>763</v>
      </c>
      <c r="AA74" s="562">
        <f>AC77/AA73</f>
        <v>1.6666333333333334</v>
      </c>
      <c r="AB74" s="550"/>
      <c r="AC74" s="562"/>
      <c r="AE74" s="548" t="s">
        <v>763</v>
      </c>
      <c r="AF74" s="562">
        <f>AH77/AF73</f>
        <v>1.6666333333333334</v>
      </c>
      <c r="AG74" s="550"/>
      <c r="AH74" s="562"/>
    </row>
    <row r="75" spans="1:34" ht="16" thickBot="1">
      <c r="A75" s="563"/>
      <c r="B75" s="564" t="s">
        <v>250</v>
      </c>
      <c r="C75" s="564" t="s">
        <v>764</v>
      </c>
      <c r="D75" s="564" t="s">
        <v>18</v>
      </c>
      <c r="E75" s="536"/>
      <c r="F75" s="563"/>
      <c r="G75" s="564" t="s">
        <v>250</v>
      </c>
      <c r="H75" s="564" t="s">
        <v>764</v>
      </c>
      <c r="I75" s="564" t="s">
        <v>18</v>
      </c>
      <c r="J75" s="536"/>
      <c r="K75" s="563"/>
      <c r="L75" s="564" t="s">
        <v>250</v>
      </c>
      <c r="M75" s="564" t="s">
        <v>764</v>
      </c>
      <c r="N75" s="564" t="s">
        <v>18</v>
      </c>
      <c r="O75" s="536"/>
      <c r="P75" s="563"/>
      <c r="Q75" s="564" t="s">
        <v>250</v>
      </c>
      <c r="R75" s="564" t="s">
        <v>764</v>
      </c>
      <c r="S75" s="564" t="s">
        <v>18</v>
      </c>
      <c r="U75" s="563"/>
      <c r="V75" s="564" t="s">
        <v>250</v>
      </c>
      <c r="W75" s="564" t="s">
        <v>764</v>
      </c>
      <c r="X75" s="564" t="s">
        <v>18</v>
      </c>
      <c r="Z75" s="563"/>
      <c r="AA75" s="564" t="s">
        <v>250</v>
      </c>
      <c r="AB75" s="564" t="s">
        <v>764</v>
      </c>
      <c r="AC75" s="564" t="s">
        <v>18</v>
      </c>
      <c r="AE75" s="563"/>
      <c r="AF75" s="564" t="s">
        <v>250</v>
      </c>
      <c r="AG75" s="564" t="s">
        <v>764</v>
      </c>
      <c r="AH75" s="564" t="s">
        <v>18</v>
      </c>
    </row>
    <row r="76" spans="1:34" ht="16" thickBot="1">
      <c r="A76" s="565" t="s">
        <v>765</v>
      </c>
      <c r="B76" s="566">
        <f>ROUND(C76*$B$87,2)</f>
        <v>200</v>
      </c>
      <c r="C76" s="567">
        <f>C69</f>
        <v>499.99</v>
      </c>
      <c r="D76" s="567">
        <f>C69</f>
        <v>499.99</v>
      </c>
      <c r="E76" s="536"/>
      <c r="F76" s="565" t="s">
        <v>765</v>
      </c>
      <c r="G76" s="566">
        <f>ROUND(H76*$B$87,2)</f>
        <v>200</v>
      </c>
      <c r="H76" s="567">
        <f>H69</f>
        <v>499.99</v>
      </c>
      <c r="I76" s="567">
        <f>H69</f>
        <v>499.99</v>
      </c>
      <c r="J76" s="536"/>
      <c r="K76" s="565" t="s">
        <v>765</v>
      </c>
      <c r="L76" s="566">
        <f>ROUND(M76*$B$87,2)</f>
        <v>200</v>
      </c>
      <c r="M76" s="567">
        <f>M69</f>
        <v>499.99</v>
      </c>
      <c r="N76" s="567">
        <f>M69</f>
        <v>499.99</v>
      </c>
      <c r="O76" s="536"/>
      <c r="P76" s="565" t="s">
        <v>765</v>
      </c>
      <c r="Q76" s="566">
        <f>ROUND(R76*$B$87,2)</f>
        <v>200</v>
      </c>
      <c r="R76" s="567">
        <f>R69</f>
        <v>499.99</v>
      </c>
      <c r="S76" s="567">
        <f>R69</f>
        <v>499.99</v>
      </c>
      <c r="U76" s="565" t="s">
        <v>765</v>
      </c>
      <c r="V76" s="566">
        <f>ROUND(W76*$B$87,2)</f>
        <v>200</v>
      </c>
      <c r="W76" s="567">
        <f>W69</f>
        <v>499.99</v>
      </c>
      <c r="X76" s="567">
        <f>W69</f>
        <v>499.99</v>
      </c>
      <c r="Z76" s="565" t="s">
        <v>765</v>
      </c>
      <c r="AA76" s="566">
        <f>ROUND(AB76*$B$87,2)</f>
        <v>200</v>
      </c>
      <c r="AB76" s="567">
        <f>AB69</f>
        <v>499.99</v>
      </c>
      <c r="AC76" s="567">
        <f>AB69</f>
        <v>499.99</v>
      </c>
      <c r="AE76" s="565" t="s">
        <v>765</v>
      </c>
      <c r="AF76" s="566">
        <f>ROUND(AG76*$B$87,2)</f>
        <v>200</v>
      </c>
      <c r="AG76" s="567">
        <f>AG69</f>
        <v>499.99</v>
      </c>
      <c r="AH76" s="567">
        <f>AG69</f>
        <v>499.99</v>
      </c>
    </row>
    <row r="77" spans="1:34" ht="16" thickBot="1">
      <c r="A77" s="565" t="s">
        <v>767</v>
      </c>
      <c r="B77" s="566">
        <f>ROUND(B76*B71,2)</f>
        <v>200000</v>
      </c>
      <c r="C77" s="567">
        <f>ROUND(C76*B71,2)</f>
        <v>499990</v>
      </c>
      <c r="D77" s="567">
        <f>ROUND(D76*B71,2)</f>
        <v>499990</v>
      </c>
      <c r="E77" s="536"/>
      <c r="F77" s="565" t="s">
        <v>767</v>
      </c>
      <c r="G77" s="566">
        <f>ROUND(G76*G71,2)</f>
        <v>200000</v>
      </c>
      <c r="H77" s="567">
        <f>ROUND(H76*G71,2)</f>
        <v>499990</v>
      </c>
      <c r="I77" s="567">
        <f>ROUND(I76*G71,2)</f>
        <v>499990</v>
      </c>
      <c r="J77" s="536"/>
      <c r="K77" s="565" t="s">
        <v>767</v>
      </c>
      <c r="L77" s="566">
        <f>ROUND(L76*L71,2)</f>
        <v>200000</v>
      </c>
      <c r="M77" s="567">
        <f>ROUND(M76*L71,2)</f>
        <v>499990</v>
      </c>
      <c r="N77" s="567">
        <f>ROUND(N76*L71,2)</f>
        <v>499990</v>
      </c>
      <c r="O77" s="536"/>
      <c r="P77" s="565" t="s">
        <v>767</v>
      </c>
      <c r="Q77" s="566">
        <f>ROUND(Q76*Q71,2)</f>
        <v>200000</v>
      </c>
      <c r="R77" s="567">
        <f>ROUND(R76*Q71,2)</f>
        <v>499990</v>
      </c>
      <c r="S77" s="567">
        <f>ROUND(S76*Q71,2)</f>
        <v>499990</v>
      </c>
      <c r="U77" s="565" t="s">
        <v>767</v>
      </c>
      <c r="V77" s="566">
        <f>ROUND(V76*V71,2)</f>
        <v>200000</v>
      </c>
      <c r="W77" s="567">
        <f>ROUND(W76*V71,2)</f>
        <v>499990</v>
      </c>
      <c r="X77" s="567">
        <f>ROUND(X76*V71,2)</f>
        <v>499990</v>
      </c>
      <c r="Z77" s="565" t="s">
        <v>767</v>
      </c>
      <c r="AA77" s="566">
        <f>ROUND(AA76*AA71,2)</f>
        <v>200000</v>
      </c>
      <c r="AB77" s="567">
        <f>ROUND(AB76*AA71,2)</f>
        <v>499990</v>
      </c>
      <c r="AC77" s="567">
        <f>ROUND(AC76*AA71,2)</f>
        <v>499990</v>
      </c>
      <c r="AE77" s="565" t="s">
        <v>767</v>
      </c>
      <c r="AF77" s="566">
        <f>ROUND(AF76*AF71,2)</f>
        <v>200000</v>
      </c>
      <c r="AG77" s="567">
        <f>ROUND(AG76*AF71,2)</f>
        <v>499990</v>
      </c>
      <c r="AH77" s="567">
        <f>ROUND(AH76*AF71,2)</f>
        <v>499990</v>
      </c>
    </row>
    <row r="78" spans="1:34">
      <c r="A78" s="536"/>
      <c r="B78" s="536"/>
      <c r="C78" s="536"/>
      <c r="D78" s="536"/>
      <c r="E78" s="536"/>
      <c r="F78" s="536"/>
      <c r="G78" s="536"/>
      <c r="H78" s="536"/>
      <c r="I78" s="536"/>
      <c r="J78" s="536"/>
      <c r="K78" s="536"/>
      <c r="L78" s="536"/>
      <c r="M78" s="536"/>
      <c r="N78" s="536"/>
      <c r="O78" s="536"/>
      <c r="P78" s="536"/>
      <c r="Q78" s="536"/>
      <c r="R78" s="536"/>
      <c r="S78" s="536"/>
      <c r="U78" s="536"/>
      <c r="V78" s="536"/>
      <c r="W78" s="536"/>
      <c r="X78" s="536"/>
      <c r="Z78" s="536"/>
      <c r="AA78" s="536"/>
      <c r="AB78" s="536"/>
      <c r="AC78" s="536"/>
      <c r="AE78" s="536"/>
      <c r="AF78" s="536"/>
      <c r="AG78" s="536"/>
      <c r="AH78" s="536"/>
    </row>
    <row r="79" spans="1:34">
      <c r="A79" s="536" t="s">
        <v>149</v>
      </c>
      <c r="B79" s="570">
        <f>B13+B29+B45+B61+B73</f>
        <v>4340000</v>
      </c>
      <c r="C79" s="536"/>
      <c r="D79" s="571"/>
      <c r="E79" s="536"/>
      <c r="F79" s="536" t="s">
        <v>149</v>
      </c>
      <c r="G79" s="570">
        <f>G13+G29+G45+G61+G73</f>
        <v>5112000</v>
      </c>
      <c r="H79" s="536"/>
      <c r="I79" s="571"/>
      <c r="J79" s="536"/>
      <c r="K79" s="536" t="s">
        <v>149</v>
      </c>
      <c r="L79" s="570">
        <f>L13+L29+L45+L61+L73</f>
        <v>5980000</v>
      </c>
      <c r="M79" s="536"/>
      <c r="N79" s="571"/>
      <c r="O79" s="536"/>
      <c r="P79" s="536" t="s">
        <v>149</v>
      </c>
      <c r="Q79" s="570">
        <f>Q13+Q29+Q45+Q61+Q73</f>
        <v>5980000</v>
      </c>
      <c r="R79" s="536"/>
      <c r="S79" s="571"/>
      <c r="U79" s="536" t="s">
        <v>149</v>
      </c>
      <c r="V79" s="570">
        <f>V13+V29+V45+V61+V73</f>
        <v>5980000</v>
      </c>
      <c r="W79" s="536"/>
      <c r="X79" s="571"/>
      <c r="Z79" s="536" t="s">
        <v>149</v>
      </c>
      <c r="AA79" s="570">
        <f>AA13+AA29+AA45+AA61+AA73</f>
        <v>5980000</v>
      </c>
      <c r="AB79" s="536"/>
      <c r="AC79" s="571"/>
      <c r="AE79" s="536" t="s">
        <v>149</v>
      </c>
      <c r="AF79" s="570">
        <f>AF13+AF29+AF45+AF61+AF73</f>
        <v>5980000</v>
      </c>
      <c r="AG79" s="536"/>
      <c r="AH79" s="571"/>
    </row>
    <row r="80" spans="1:34">
      <c r="A80" s="536"/>
      <c r="B80" s="572"/>
      <c r="C80" s="536"/>
      <c r="D80" s="572"/>
      <c r="E80" s="536"/>
      <c r="F80" s="536"/>
      <c r="G80" s="572"/>
      <c r="H80" s="536"/>
      <c r="I80" s="572"/>
      <c r="J80" s="536"/>
      <c r="K80" s="536"/>
      <c r="L80" s="572"/>
      <c r="M80" s="536"/>
      <c r="N80" s="572"/>
      <c r="O80" s="536"/>
      <c r="P80" s="535"/>
    </row>
    <row r="81" spans="1:68" ht="16" thickBot="1"/>
    <row r="82" spans="1:68">
      <c r="A82" s="573"/>
      <c r="B82" s="574"/>
      <c r="C82" s="574"/>
      <c r="D82" s="575"/>
      <c r="F82" s="573"/>
      <c r="G82" s="574"/>
      <c r="H82" s="574"/>
      <c r="I82" s="575"/>
      <c r="K82" s="573"/>
      <c r="L82" s="574"/>
      <c r="M82" s="574"/>
      <c r="N82" s="575"/>
      <c r="P82" s="573"/>
      <c r="Q82" s="574"/>
      <c r="R82" s="574"/>
      <c r="S82" s="575"/>
      <c r="U82" s="573"/>
      <c r="V82" s="574"/>
      <c r="W82" s="574"/>
      <c r="X82" s="575"/>
      <c r="Z82" s="573"/>
      <c r="AA82" s="574"/>
      <c r="AB82" s="574"/>
      <c r="AC82" s="575"/>
      <c r="AE82" s="573"/>
      <c r="AF82" s="574"/>
      <c r="AG82" s="574"/>
      <c r="AH82" s="575"/>
    </row>
    <row r="83" spans="1:68">
      <c r="A83" s="576" t="s">
        <v>18</v>
      </c>
      <c r="B83" s="577"/>
      <c r="C83" s="578">
        <f>D18+D34+D50+D66+D77</f>
        <v>7459010</v>
      </c>
      <c r="D83" s="579"/>
      <c r="F83" s="576" t="s">
        <v>18</v>
      </c>
      <c r="G83" s="577"/>
      <c r="H83" s="578">
        <f>I18+I34+I50+I66+I77</f>
        <v>8988760</v>
      </c>
      <c r="I83" s="579"/>
      <c r="K83" s="576" t="s">
        <v>18</v>
      </c>
      <c r="L83" s="577"/>
      <c r="M83" s="578">
        <f>N18+N34+N50+N66+N77</f>
        <v>10738470</v>
      </c>
      <c r="N83" s="579"/>
      <c r="P83" s="576" t="s">
        <v>18</v>
      </c>
      <c r="Q83" s="577"/>
      <c r="R83" s="578">
        <f>S18+S34+S50+S66+S77</f>
        <v>10738470</v>
      </c>
      <c r="S83" s="579"/>
      <c r="U83" s="576" t="s">
        <v>18</v>
      </c>
      <c r="V83" s="577"/>
      <c r="W83" s="578">
        <f>X18+X34+X50+X66+X77</f>
        <v>10738470</v>
      </c>
      <c r="X83" s="579"/>
      <c r="Z83" s="576" t="s">
        <v>18</v>
      </c>
      <c r="AA83" s="577"/>
      <c r="AB83" s="578">
        <f>AC18+AC34+AC50+AC66+AC77</f>
        <v>10738470</v>
      </c>
      <c r="AC83" s="579"/>
      <c r="AE83" s="576" t="s">
        <v>18</v>
      </c>
      <c r="AF83" s="577"/>
      <c r="AG83" s="578">
        <f>AH18+AH34+AH50+AH66+AH77</f>
        <v>10738470</v>
      </c>
      <c r="AH83" s="579"/>
    </row>
    <row r="84" spans="1:68">
      <c r="A84" s="580" t="s">
        <v>728</v>
      </c>
      <c r="B84" s="582">
        <f>'Model Assumptions'!D30</f>
        <v>0.6</v>
      </c>
      <c r="C84" s="581">
        <f>C18+C34+C50+C66+C77</f>
        <v>4429475</v>
      </c>
      <c r="D84" s="579"/>
      <c r="F84" s="580" t="s">
        <v>728</v>
      </c>
      <c r="G84" s="582">
        <f>B84</f>
        <v>0.6</v>
      </c>
      <c r="H84" s="581">
        <f>H18+H34+H50+H66+H77</f>
        <v>5272347.5</v>
      </c>
      <c r="I84" s="579"/>
      <c r="K84" s="580" t="s">
        <v>728</v>
      </c>
      <c r="L84" s="582">
        <f>B84</f>
        <v>0.6</v>
      </c>
      <c r="M84" s="581">
        <f>M18+M34+M50+M66+M77</f>
        <v>6231200</v>
      </c>
      <c r="N84" s="579"/>
      <c r="P84" s="580" t="s">
        <v>728</v>
      </c>
      <c r="Q84" s="582">
        <f>L84</f>
        <v>0.6</v>
      </c>
      <c r="R84" s="581">
        <f>R18+R34+R50+R66+R77</f>
        <v>6231200</v>
      </c>
      <c r="S84" s="579"/>
      <c r="U84" s="580" t="s">
        <v>728</v>
      </c>
      <c r="V84" s="582">
        <f>Q84</f>
        <v>0.6</v>
      </c>
      <c r="W84" s="581">
        <f>W18+W34+W50+W66+W77</f>
        <v>6231200</v>
      </c>
      <c r="X84" s="579"/>
      <c r="Z84" s="580" t="s">
        <v>728</v>
      </c>
      <c r="AA84" s="582">
        <f>V84</f>
        <v>0.6</v>
      </c>
      <c r="AB84" s="581">
        <f>AB18+AB34+AB50+AB66+AB77</f>
        <v>6231200</v>
      </c>
      <c r="AC84" s="579"/>
      <c r="AE84" s="580" t="s">
        <v>728</v>
      </c>
      <c r="AF84" s="582">
        <f>AA84</f>
        <v>0.6</v>
      </c>
      <c r="AG84" s="581">
        <f>AG18+AG34+AG50+AG66+AG77</f>
        <v>6231200</v>
      </c>
      <c r="AH84" s="579"/>
    </row>
    <row r="85" spans="1:68">
      <c r="A85" s="580" t="s">
        <v>726</v>
      </c>
      <c r="B85" s="582">
        <f>'Model Assumptions'!D32</f>
        <v>0.05</v>
      </c>
      <c r="C85" s="581">
        <f>-ROUND(C84*B85,2)</f>
        <v>-221473.75</v>
      </c>
      <c r="D85" s="579"/>
      <c r="F85" s="580" t="s">
        <v>726</v>
      </c>
      <c r="G85" s="582">
        <f>B85</f>
        <v>0.05</v>
      </c>
      <c r="H85" s="581">
        <f>-ROUND(H84*G85,2)</f>
        <v>-263617.38</v>
      </c>
      <c r="I85" s="579"/>
      <c r="K85" s="580" t="s">
        <v>726</v>
      </c>
      <c r="L85" s="582">
        <f>B85</f>
        <v>0.05</v>
      </c>
      <c r="M85" s="581">
        <f>-ROUND(M84*L85,2)</f>
        <v>-311560</v>
      </c>
      <c r="N85" s="579"/>
      <c r="P85" s="580" t="s">
        <v>726</v>
      </c>
      <c r="Q85" s="582">
        <f>L85</f>
        <v>0.05</v>
      </c>
      <c r="R85" s="581">
        <f>-ROUND(R84*Q85,2)</f>
        <v>-311560</v>
      </c>
      <c r="S85" s="579"/>
      <c r="U85" s="580" t="s">
        <v>726</v>
      </c>
      <c r="V85" s="582">
        <f>Q85</f>
        <v>0.05</v>
      </c>
      <c r="W85" s="581">
        <f>-ROUND(W84*V85,2)</f>
        <v>-311560</v>
      </c>
      <c r="X85" s="579"/>
      <c r="Z85" s="580" t="s">
        <v>726</v>
      </c>
      <c r="AA85" s="582">
        <f>V85</f>
        <v>0.05</v>
      </c>
      <c r="AB85" s="581">
        <f>-ROUND(AB84*AA85,2)</f>
        <v>-311560</v>
      </c>
      <c r="AC85" s="579"/>
      <c r="AE85" s="580" t="s">
        <v>726</v>
      </c>
      <c r="AF85" s="582">
        <f>AA85</f>
        <v>0.05</v>
      </c>
      <c r="AG85" s="581">
        <f>-ROUND(AG84*AF85,2)</f>
        <v>-311560</v>
      </c>
      <c r="AH85" s="579"/>
    </row>
    <row r="86" spans="1:68">
      <c r="A86" s="580" t="s">
        <v>730</v>
      </c>
      <c r="B86" s="582"/>
      <c r="C86" s="583">
        <f>C84+C85</f>
        <v>4208001.25</v>
      </c>
      <c r="D86" s="579"/>
      <c r="F86" s="580" t="s">
        <v>730</v>
      </c>
      <c r="G86" s="582"/>
      <c r="H86" s="583">
        <f>H84+H85</f>
        <v>5008730.12</v>
      </c>
      <c r="I86" s="579"/>
      <c r="K86" s="580" t="s">
        <v>730</v>
      </c>
      <c r="L86" s="582"/>
      <c r="M86" s="583">
        <f>M84+M85</f>
        <v>5919640</v>
      </c>
      <c r="N86" s="579"/>
      <c r="P86" s="580" t="s">
        <v>730</v>
      </c>
      <c r="Q86" s="582"/>
      <c r="R86" s="583">
        <f>R84+R85</f>
        <v>5919640</v>
      </c>
      <c r="S86" s="579"/>
      <c r="U86" s="580" t="s">
        <v>730</v>
      </c>
      <c r="V86" s="582"/>
      <c r="W86" s="583">
        <f>W84+W85</f>
        <v>5919640</v>
      </c>
      <c r="X86" s="579"/>
      <c r="Z86" s="580" t="s">
        <v>730</v>
      </c>
      <c r="AA86" s="582"/>
      <c r="AB86" s="583">
        <f>AB84+AB85</f>
        <v>5919640</v>
      </c>
      <c r="AC86" s="579"/>
      <c r="AE86" s="580" t="s">
        <v>730</v>
      </c>
      <c r="AF86" s="582"/>
      <c r="AG86" s="583">
        <f>AG84+AG85</f>
        <v>5919640</v>
      </c>
      <c r="AH86" s="579"/>
    </row>
    <row r="87" spans="1:68">
      <c r="A87" s="580" t="s">
        <v>729</v>
      </c>
      <c r="B87" s="582">
        <f>'Model Assumptions'!D34</f>
        <v>0.4</v>
      </c>
      <c r="C87" s="581">
        <f>-ROUND(C86*B87,2)</f>
        <v>-1683200.5</v>
      </c>
      <c r="D87" s="584"/>
      <c r="F87" s="580" t="s">
        <v>729</v>
      </c>
      <c r="G87" s="582">
        <f>B87</f>
        <v>0.4</v>
      </c>
      <c r="H87" s="581">
        <f>-ROUND(H86*G87,2)</f>
        <v>-2003492.05</v>
      </c>
      <c r="I87" s="584"/>
      <c r="K87" s="580" t="s">
        <v>729</v>
      </c>
      <c r="L87" s="582">
        <f>B87</f>
        <v>0.4</v>
      </c>
      <c r="M87" s="581">
        <f>-ROUND(M86*L87,2)</f>
        <v>-2367856</v>
      </c>
      <c r="N87" s="584"/>
      <c r="P87" s="580" t="s">
        <v>729</v>
      </c>
      <c r="Q87" s="582">
        <f>L87</f>
        <v>0.4</v>
      </c>
      <c r="R87" s="581">
        <f>-ROUND(R86*Q87,2)</f>
        <v>-2367856</v>
      </c>
      <c r="S87" s="584"/>
      <c r="U87" s="580" t="s">
        <v>729</v>
      </c>
      <c r="V87" s="582">
        <f>Q87</f>
        <v>0.4</v>
      </c>
      <c r="W87" s="581">
        <f>-ROUND(W86*V87,2)</f>
        <v>-2367856</v>
      </c>
      <c r="X87" s="584"/>
      <c r="Z87" s="580" t="s">
        <v>729</v>
      </c>
      <c r="AA87" s="582">
        <f>V87</f>
        <v>0.4</v>
      </c>
      <c r="AB87" s="581">
        <f>-ROUND(AB86*AA87,2)</f>
        <v>-2367856</v>
      </c>
      <c r="AC87" s="584"/>
      <c r="AE87" s="580" t="s">
        <v>729</v>
      </c>
      <c r="AF87" s="582">
        <f>AA87</f>
        <v>0.4</v>
      </c>
      <c r="AG87" s="581">
        <f>-ROUND(AG86*AF87,2)</f>
        <v>-2367856</v>
      </c>
      <c r="AH87" s="584"/>
    </row>
    <row r="88" spans="1:68" ht="16" thickBot="1">
      <c r="A88" s="580" t="s">
        <v>5</v>
      </c>
      <c r="B88" s="585"/>
      <c r="C88" s="586">
        <f>SUM(C86:C87)</f>
        <v>2524800.75</v>
      </c>
      <c r="D88" s="579"/>
      <c r="F88" s="580" t="s">
        <v>5</v>
      </c>
      <c r="G88" s="585"/>
      <c r="H88" s="586">
        <f>SUM(H86:H87)</f>
        <v>3005238.0700000003</v>
      </c>
      <c r="I88" s="579"/>
      <c r="K88" s="580" t="s">
        <v>5</v>
      </c>
      <c r="L88" s="585"/>
      <c r="M88" s="586">
        <f>SUM(M86:M87)</f>
        <v>3551784</v>
      </c>
      <c r="N88" s="579"/>
      <c r="P88" s="580" t="s">
        <v>5</v>
      </c>
      <c r="Q88" s="585"/>
      <c r="R88" s="586">
        <f>SUM(R86:R87)</f>
        <v>3551784</v>
      </c>
      <c r="S88" s="579"/>
      <c r="U88" s="580" t="s">
        <v>5</v>
      </c>
      <c r="V88" s="585"/>
      <c r="W88" s="586">
        <f>SUM(W86:W87)</f>
        <v>3551784</v>
      </c>
      <c r="X88" s="579"/>
      <c r="Z88" s="580" t="s">
        <v>5</v>
      </c>
      <c r="AA88" s="585"/>
      <c r="AB88" s="586">
        <f>SUM(AB86:AB87)</f>
        <v>3551784</v>
      </c>
      <c r="AC88" s="579"/>
      <c r="AE88" s="580" t="s">
        <v>5</v>
      </c>
      <c r="AF88" s="585"/>
      <c r="AG88" s="586">
        <f>SUM(AG86:AG87)</f>
        <v>3551784</v>
      </c>
      <c r="AH88" s="579"/>
    </row>
    <row r="89" spans="1:68" ht="17" thickTop="1" thickBot="1">
      <c r="A89" s="587"/>
      <c r="B89" s="588"/>
      <c r="C89" s="588"/>
      <c r="D89" s="589"/>
      <c r="F89" s="587"/>
      <c r="G89" s="588"/>
      <c r="H89" s="588"/>
      <c r="I89" s="589"/>
      <c r="K89" s="587"/>
      <c r="L89" s="588"/>
      <c r="M89" s="588"/>
      <c r="N89" s="589"/>
      <c r="P89" s="587"/>
      <c r="Q89" s="588"/>
      <c r="R89" s="588"/>
      <c r="S89" s="589"/>
      <c r="U89" s="587"/>
      <c r="V89" s="588"/>
      <c r="W89" s="588"/>
      <c r="X89" s="589"/>
      <c r="Z89" s="587"/>
      <c r="AA89" s="588"/>
      <c r="AB89" s="588"/>
      <c r="AC89" s="589"/>
      <c r="AE89" s="587"/>
      <c r="AF89" s="588"/>
      <c r="AG89" s="588"/>
      <c r="AH89" s="589"/>
    </row>
    <row r="91" spans="1:68" ht="16" thickBot="1"/>
    <row r="92" spans="1:68" ht="13.5" customHeight="1">
      <c r="A92" s="590"/>
      <c r="B92" s="590"/>
      <c r="C92" s="591">
        <v>46037</v>
      </c>
      <c r="D92" s="591">
        <f t="shared" ref="D92" si="0">C92+30</f>
        <v>46067</v>
      </c>
      <c r="E92" s="591">
        <f>D92+31</f>
        <v>46098</v>
      </c>
      <c r="F92" s="591">
        <f t="shared" ref="F92" si="1">E92+30</f>
        <v>46128</v>
      </c>
      <c r="G92" s="591">
        <f>F92+31</f>
        <v>46159</v>
      </c>
      <c r="H92" s="591">
        <f t="shared" ref="H92" si="2">G92+30</f>
        <v>46189</v>
      </c>
      <c r="I92" s="591">
        <f>H92+31</f>
        <v>46220</v>
      </c>
      <c r="J92" s="591">
        <f>I92+31</f>
        <v>46251</v>
      </c>
      <c r="K92" s="591">
        <f>J92+30</f>
        <v>46281</v>
      </c>
      <c r="L92" s="591">
        <f>K92+31</f>
        <v>46312</v>
      </c>
      <c r="M92" s="591">
        <f>L92+31</f>
        <v>46343</v>
      </c>
      <c r="N92" s="591">
        <f>M92+31</f>
        <v>46374</v>
      </c>
      <c r="O92" s="590"/>
      <c r="P92" s="591">
        <f>N92+31</f>
        <v>46405</v>
      </c>
      <c r="Q92" s="591">
        <f t="shared" ref="Q92" si="3">P92+30</f>
        <v>46435</v>
      </c>
      <c r="R92" s="591">
        <f>Q92+31</f>
        <v>46466</v>
      </c>
      <c r="S92" s="591">
        <f t="shared" ref="S92" si="4">R92+30</f>
        <v>46496</v>
      </c>
      <c r="T92" s="591">
        <f>S92+31</f>
        <v>46527</v>
      </c>
      <c r="U92" s="591">
        <f t="shared" ref="U92" si="5">T92+30</f>
        <v>46557</v>
      </c>
      <c r="V92" s="591">
        <f>U92+31</f>
        <v>46588</v>
      </c>
      <c r="W92" s="591">
        <f>V92+31</f>
        <v>46619</v>
      </c>
      <c r="X92" s="591">
        <f>W92+30</f>
        <v>46649</v>
      </c>
      <c r="Y92" s="591">
        <f>X92+31</f>
        <v>46680</v>
      </c>
      <c r="Z92" s="591">
        <f>Y92+31</f>
        <v>46711</v>
      </c>
      <c r="AA92" s="591">
        <f>Z92+31</f>
        <v>46742</v>
      </c>
      <c r="AB92" s="590"/>
      <c r="AC92" s="591">
        <f>AA92+31</f>
        <v>46773</v>
      </c>
      <c r="AD92" s="591">
        <f t="shared" ref="AD92" si="6">AC92+30</f>
        <v>46803</v>
      </c>
      <c r="AE92" s="591">
        <f>AD92+31</f>
        <v>46834</v>
      </c>
      <c r="AF92" s="591">
        <f t="shared" ref="AF92" si="7">AE92+30</f>
        <v>46864</v>
      </c>
      <c r="AG92" s="591">
        <f>AF92+31</f>
        <v>46895</v>
      </c>
      <c r="AH92" s="591">
        <f>AG92+30</f>
        <v>46925</v>
      </c>
      <c r="AI92" s="591">
        <f>AH92+31</f>
        <v>46956</v>
      </c>
      <c r="AJ92" s="591">
        <f>AI92+31</f>
        <v>46987</v>
      </c>
      <c r="AK92" s="591">
        <f>AJ92+30</f>
        <v>47017</v>
      </c>
      <c r="AL92" s="591">
        <f>AK92+31</f>
        <v>47048</v>
      </c>
      <c r="AM92" s="591">
        <f>AL92+31</f>
        <v>47079</v>
      </c>
      <c r="AN92" s="591">
        <f>AM92+31</f>
        <v>47110</v>
      </c>
      <c r="AO92" s="590"/>
      <c r="AP92" s="591">
        <f>AN92+31</f>
        <v>47141</v>
      </c>
      <c r="AQ92" s="591">
        <f t="shared" ref="AQ92" si="8">AP92+30</f>
        <v>47171</v>
      </c>
      <c r="AR92" s="591">
        <f>AQ92+31</f>
        <v>47202</v>
      </c>
      <c r="AS92" s="591">
        <f t="shared" ref="AS92" si="9">AR92+30</f>
        <v>47232</v>
      </c>
      <c r="AT92" s="591">
        <f>AS92+31</f>
        <v>47263</v>
      </c>
      <c r="AU92" s="591">
        <f t="shared" ref="AU92" si="10">AT92+30</f>
        <v>47293</v>
      </c>
      <c r="AV92" s="591">
        <f>AU92+31</f>
        <v>47324</v>
      </c>
      <c r="AW92" s="591">
        <f>AV92+31</f>
        <v>47355</v>
      </c>
      <c r="AX92" s="591">
        <f>AW92+30</f>
        <v>47385</v>
      </c>
      <c r="AY92" s="591">
        <f>AX92+31</f>
        <v>47416</v>
      </c>
      <c r="AZ92" s="591">
        <f>AY92+31</f>
        <v>47447</v>
      </c>
      <c r="BA92" s="591">
        <f>AZ92+31</f>
        <v>47478</v>
      </c>
      <c r="BB92" s="592"/>
      <c r="BC92" s="591">
        <f>BA92+31</f>
        <v>47509</v>
      </c>
      <c r="BD92" s="591">
        <f t="shared" ref="BD92" si="11">BC92+30</f>
        <v>47539</v>
      </c>
      <c r="BE92" s="591">
        <f>BD92+31</f>
        <v>47570</v>
      </c>
      <c r="BF92" s="591">
        <f t="shared" ref="BF92" si="12">BE92+30</f>
        <v>47600</v>
      </c>
      <c r="BG92" s="591">
        <f>BF92+31</f>
        <v>47631</v>
      </c>
      <c r="BH92" s="591">
        <f t="shared" ref="BH92" si="13">BG92+30</f>
        <v>47661</v>
      </c>
      <c r="BI92" s="591">
        <f>BH92+31</f>
        <v>47692</v>
      </c>
      <c r="BJ92" s="591">
        <f>BI92+31</f>
        <v>47723</v>
      </c>
      <c r="BK92" s="591">
        <f>BJ92+30</f>
        <v>47753</v>
      </c>
      <c r="BL92" s="591">
        <f>BK92+31</f>
        <v>47784</v>
      </c>
      <c r="BM92" s="591">
        <f>BL92+31</f>
        <v>47815</v>
      </c>
      <c r="BN92" s="591">
        <f>BM92+31</f>
        <v>47846</v>
      </c>
      <c r="BO92" s="592"/>
      <c r="BP92" s="593"/>
    </row>
    <row r="93" spans="1:68" ht="13.5" customHeight="1">
      <c r="A93" s="594"/>
      <c r="B93" s="594"/>
      <c r="C93" s="595" t="s">
        <v>49</v>
      </c>
      <c r="D93" s="595" t="s">
        <v>50</v>
      </c>
      <c r="E93" s="595" t="s">
        <v>51</v>
      </c>
      <c r="F93" s="595" t="s">
        <v>52</v>
      </c>
      <c r="G93" s="595" t="s">
        <v>53</v>
      </c>
      <c r="H93" s="595" t="s">
        <v>54</v>
      </c>
      <c r="I93" s="595" t="s">
        <v>55</v>
      </c>
      <c r="J93" s="595" t="s">
        <v>56</v>
      </c>
      <c r="K93" s="595" t="s">
        <v>57</v>
      </c>
      <c r="L93" s="595" t="s">
        <v>58</v>
      </c>
      <c r="M93" s="595" t="s">
        <v>59</v>
      </c>
      <c r="N93" s="595" t="s">
        <v>60</v>
      </c>
      <c r="O93" s="596" t="s">
        <v>65</v>
      </c>
      <c r="P93" s="595" t="s">
        <v>291</v>
      </c>
      <c r="Q93" s="595" t="s">
        <v>308</v>
      </c>
      <c r="R93" s="595" t="s">
        <v>309</v>
      </c>
      <c r="S93" s="595" t="s">
        <v>310</v>
      </c>
      <c r="T93" s="595" t="s">
        <v>311</v>
      </c>
      <c r="U93" s="595" t="s">
        <v>312</v>
      </c>
      <c r="V93" s="595" t="s">
        <v>313</v>
      </c>
      <c r="W93" s="595" t="s">
        <v>314</v>
      </c>
      <c r="X93" s="595" t="s">
        <v>315</v>
      </c>
      <c r="Y93" s="595" t="s">
        <v>316</v>
      </c>
      <c r="Z93" s="595" t="s">
        <v>317</v>
      </c>
      <c r="AA93" s="595" t="s">
        <v>318</v>
      </c>
      <c r="AB93" s="597" t="s">
        <v>121</v>
      </c>
      <c r="AC93" s="595" t="s">
        <v>319</v>
      </c>
      <c r="AD93" s="595" t="s">
        <v>320</v>
      </c>
      <c r="AE93" s="595" t="s">
        <v>321</v>
      </c>
      <c r="AF93" s="595" t="s">
        <v>322</v>
      </c>
      <c r="AG93" s="595" t="s">
        <v>323</v>
      </c>
      <c r="AH93" s="595" t="s">
        <v>324</v>
      </c>
      <c r="AI93" s="595" t="s">
        <v>325</v>
      </c>
      <c r="AJ93" s="595" t="s">
        <v>326</v>
      </c>
      <c r="AK93" s="595" t="s">
        <v>327</v>
      </c>
      <c r="AL93" s="595" t="s">
        <v>328</v>
      </c>
      <c r="AM93" s="595" t="s">
        <v>329</v>
      </c>
      <c r="AN93" s="595" t="s">
        <v>330</v>
      </c>
      <c r="AO93" s="597" t="s">
        <v>122</v>
      </c>
      <c r="AP93" s="598" t="s">
        <v>331</v>
      </c>
      <c r="AQ93" s="598" t="s">
        <v>332</v>
      </c>
      <c r="AR93" s="598" t="s">
        <v>333</v>
      </c>
      <c r="AS93" s="598" t="s">
        <v>334</v>
      </c>
      <c r="AT93" s="598" t="s">
        <v>335</v>
      </c>
      <c r="AU93" s="598" t="s">
        <v>336</v>
      </c>
      <c r="AV93" s="598" t="s">
        <v>337</v>
      </c>
      <c r="AW93" s="598" t="s">
        <v>338</v>
      </c>
      <c r="AX93" s="598" t="s">
        <v>339</v>
      </c>
      <c r="AY93" s="598" t="s">
        <v>340</v>
      </c>
      <c r="AZ93" s="598" t="s">
        <v>341</v>
      </c>
      <c r="BA93" s="598" t="s">
        <v>342</v>
      </c>
      <c r="BB93" s="597" t="s">
        <v>123</v>
      </c>
      <c r="BC93" s="598" t="s">
        <v>343</v>
      </c>
      <c r="BD93" s="598" t="s">
        <v>344</v>
      </c>
      <c r="BE93" s="598" t="s">
        <v>345</v>
      </c>
      <c r="BF93" s="598" t="s">
        <v>346</v>
      </c>
      <c r="BG93" s="598" t="s">
        <v>347</v>
      </c>
      <c r="BH93" s="598" t="s">
        <v>348</v>
      </c>
      <c r="BI93" s="598" t="s">
        <v>349</v>
      </c>
      <c r="BJ93" s="598" t="s">
        <v>350</v>
      </c>
      <c r="BK93" s="598" t="s">
        <v>351</v>
      </c>
      <c r="BL93" s="598" t="s">
        <v>352</v>
      </c>
      <c r="BM93" s="598" t="s">
        <v>353</v>
      </c>
      <c r="BN93" s="598" t="s">
        <v>354</v>
      </c>
      <c r="BO93" s="597" t="s">
        <v>124</v>
      </c>
      <c r="BP93" s="599" t="s">
        <v>125</v>
      </c>
    </row>
    <row r="94" spans="1:68" ht="13.5" customHeight="1">
      <c r="A94" s="600" t="s">
        <v>20</v>
      </c>
      <c r="B94" s="600"/>
      <c r="C94" s="601"/>
      <c r="D94" s="601"/>
      <c r="E94" s="601"/>
      <c r="F94" s="601"/>
      <c r="G94" s="601"/>
      <c r="H94" s="601"/>
      <c r="I94" s="601"/>
      <c r="J94" s="601"/>
      <c r="K94" s="601"/>
      <c r="L94" s="601"/>
      <c r="M94" s="601"/>
      <c r="N94" s="601"/>
      <c r="O94" s="602"/>
      <c r="P94" s="601"/>
      <c r="Q94" s="601"/>
      <c r="R94" s="601"/>
      <c r="S94" s="601"/>
      <c r="T94" s="601"/>
      <c r="U94" s="601"/>
      <c r="V94" s="601"/>
      <c r="W94" s="601"/>
      <c r="X94" s="601"/>
      <c r="Y94" s="601"/>
      <c r="Z94" s="601"/>
      <c r="AA94" s="601"/>
      <c r="AB94" s="602"/>
      <c r="AC94" s="601"/>
      <c r="AD94" s="601"/>
      <c r="AE94" s="601"/>
      <c r="AF94" s="601"/>
      <c r="AG94" s="601"/>
      <c r="AH94" s="601"/>
      <c r="AI94" s="601"/>
      <c r="AJ94" s="601"/>
      <c r="AK94" s="601"/>
      <c r="AL94" s="601"/>
      <c r="AM94" s="601"/>
      <c r="AN94" s="601"/>
      <c r="AO94" s="602"/>
      <c r="AP94" s="603"/>
      <c r="AQ94" s="603"/>
      <c r="AR94" s="603"/>
      <c r="AS94" s="603"/>
      <c r="AT94" s="603"/>
      <c r="AU94" s="603"/>
      <c r="AV94" s="603"/>
      <c r="AW94" s="603"/>
      <c r="AX94" s="603"/>
      <c r="AY94" s="603"/>
      <c r="AZ94" s="603"/>
      <c r="BA94" s="603"/>
      <c r="BB94" s="604"/>
      <c r="BC94" s="603"/>
      <c r="BD94" s="603"/>
      <c r="BE94" s="603"/>
      <c r="BF94" s="603"/>
      <c r="BG94" s="603"/>
      <c r="BH94" s="603"/>
      <c r="BI94" s="603"/>
      <c r="BJ94" s="603"/>
      <c r="BK94" s="603"/>
      <c r="BL94" s="603"/>
      <c r="BM94" s="603"/>
      <c r="BN94" s="603"/>
      <c r="BO94" s="604"/>
      <c r="BP94" s="605"/>
    </row>
    <row r="95" spans="1:68" ht="13.5" customHeight="1" thickBot="1">
      <c r="A95" s="606" t="s">
        <v>738</v>
      </c>
      <c r="B95" s="607"/>
      <c r="C95" s="608">
        <v>0</v>
      </c>
      <c r="D95" s="608">
        <v>0</v>
      </c>
      <c r="E95" s="609">
        <v>0</v>
      </c>
      <c r="F95" s="608">
        <v>0</v>
      </c>
      <c r="G95" s="608">
        <v>0</v>
      </c>
      <c r="H95" s="608">
        <v>0</v>
      </c>
      <c r="I95" s="608"/>
      <c r="J95" s="609">
        <f>C86</f>
        <v>4208001.25</v>
      </c>
      <c r="K95" s="608">
        <v>0</v>
      </c>
      <c r="L95" s="609">
        <v>0</v>
      </c>
      <c r="M95" s="608">
        <f>H86</f>
        <v>5008730.12</v>
      </c>
      <c r="N95" s="608">
        <v>0</v>
      </c>
      <c r="O95" s="610">
        <f t="shared" ref="O95:O98" si="14">SUM(C95:N95)</f>
        <v>9216731.370000001</v>
      </c>
      <c r="P95" s="608">
        <v>0</v>
      </c>
      <c r="Q95" s="608">
        <f>M86</f>
        <v>5919640</v>
      </c>
      <c r="R95" s="608">
        <v>0</v>
      </c>
      <c r="S95" s="609">
        <v>0</v>
      </c>
      <c r="T95" s="608">
        <f>R86</f>
        <v>5919640</v>
      </c>
      <c r="U95" s="608">
        <v>0</v>
      </c>
      <c r="V95" s="608">
        <v>0</v>
      </c>
      <c r="W95" s="608">
        <f>W86</f>
        <v>5919640</v>
      </c>
      <c r="X95" s="609">
        <v>0</v>
      </c>
      <c r="Y95" s="608">
        <v>0</v>
      </c>
      <c r="Z95" s="608">
        <v>0</v>
      </c>
      <c r="AA95" s="608">
        <v>0</v>
      </c>
      <c r="AB95" s="610">
        <f t="shared" ref="AB95:AB98" si="15">SUM(P95:AA95)</f>
        <v>17758920</v>
      </c>
      <c r="AC95" s="608">
        <v>0</v>
      </c>
      <c r="AD95" s="608">
        <f>$AB86</f>
        <v>5919640</v>
      </c>
      <c r="AE95" s="609">
        <v>0</v>
      </c>
      <c r="AF95" s="608">
        <v>0</v>
      </c>
      <c r="AG95" s="608">
        <v>0</v>
      </c>
      <c r="AH95" s="608">
        <v>0</v>
      </c>
      <c r="AI95" s="608">
        <v>0</v>
      </c>
      <c r="AJ95" s="608">
        <v>0</v>
      </c>
      <c r="AK95" s="608">
        <v>0</v>
      </c>
      <c r="AL95" s="608">
        <v>0</v>
      </c>
      <c r="AM95" s="608">
        <v>0</v>
      </c>
      <c r="AN95" s="608">
        <v>0</v>
      </c>
      <c r="AO95" s="610">
        <f>SUM(AC95:AN95)</f>
        <v>5919640</v>
      </c>
      <c r="AP95" s="608">
        <v>0</v>
      </c>
      <c r="AQ95" s="608">
        <f>$AG86</f>
        <v>5919640</v>
      </c>
      <c r="AR95" s="608">
        <v>0</v>
      </c>
      <c r="AS95" s="608">
        <v>0</v>
      </c>
      <c r="AT95" s="608">
        <v>0</v>
      </c>
      <c r="AU95" s="608">
        <v>0</v>
      </c>
      <c r="AV95" s="608">
        <v>0</v>
      </c>
      <c r="AW95" s="608">
        <v>0</v>
      </c>
      <c r="AX95" s="608">
        <v>0</v>
      </c>
      <c r="AY95" s="608">
        <v>0</v>
      </c>
      <c r="AZ95" s="611">
        <v>0</v>
      </c>
      <c r="BA95" s="608">
        <v>0</v>
      </c>
      <c r="BB95" s="610">
        <f t="shared" ref="BB95:BB98" si="16">SUM(AP95:BA95)</f>
        <v>5919640</v>
      </c>
      <c r="BC95" s="608">
        <v>0</v>
      </c>
      <c r="BD95" s="608">
        <v>0</v>
      </c>
      <c r="BE95" s="608">
        <v>0</v>
      </c>
      <c r="BF95" s="608">
        <v>0</v>
      </c>
      <c r="BG95" s="608">
        <v>0</v>
      </c>
      <c r="BH95" s="608">
        <v>0</v>
      </c>
      <c r="BI95" s="608">
        <v>0</v>
      </c>
      <c r="BJ95" s="608">
        <v>0</v>
      </c>
      <c r="BK95" s="608">
        <v>0</v>
      </c>
      <c r="BL95" s="608">
        <v>0</v>
      </c>
      <c r="BM95" s="611">
        <v>0</v>
      </c>
      <c r="BN95" s="608">
        <v>0</v>
      </c>
      <c r="BO95" s="610">
        <f t="shared" ref="BO95" si="17">SUM(BC95:BN95)</f>
        <v>0</v>
      </c>
      <c r="BP95" s="612">
        <f>O95+AB95+AO95+BB95+BO95</f>
        <v>38814931.370000005</v>
      </c>
    </row>
    <row r="96" spans="1:68" ht="13.5" customHeight="1" thickBot="1">
      <c r="A96" s="606" t="s">
        <v>739</v>
      </c>
      <c r="B96" s="607"/>
      <c r="C96" s="608"/>
      <c r="D96" s="608"/>
      <c r="E96" s="609">
        <v>0</v>
      </c>
      <c r="F96" s="608">
        <v>0</v>
      </c>
      <c r="G96" s="608">
        <v>0</v>
      </c>
      <c r="H96" s="608">
        <v>0</v>
      </c>
      <c r="I96" s="608"/>
      <c r="J96" s="608">
        <f>-C87</f>
        <v>1683200.5</v>
      </c>
      <c r="K96" s="608">
        <v>0</v>
      </c>
      <c r="L96" s="609">
        <v>0</v>
      </c>
      <c r="M96" s="608">
        <f>-H87</f>
        <v>2003492.05</v>
      </c>
      <c r="N96" s="608">
        <v>0</v>
      </c>
      <c r="O96" s="610">
        <f t="shared" si="14"/>
        <v>3686692.55</v>
      </c>
      <c r="P96" s="608"/>
      <c r="Q96" s="608">
        <f>-M87</f>
        <v>2367856</v>
      </c>
      <c r="R96" s="608">
        <v>0</v>
      </c>
      <c r="S96" s="609">
        <v>0</v>
      </c>
      <c r="T96" s="608">
        <f>-R87</f>
        <v>2367856</v>
      </c>
      <c r="U96" s="608">
        <v>0</v>
      </c>
      <c r="V96" s="608"/>
      <c r="W96" s="608">
        <f>-W87</f>
        <v>2367856</v>
      </c>
      <c r="X96" s="609">
        <v>0</v>
      </c>
      <c r="Y96" s="608"/>
      <c r="Z96" s="608">
        <v>0</v>
      </c>
      <c r="AA96" s="608">
        <v>0</v>
      </c>
      <c r="AB96" s="610">
        <f t="shared" si="15"/>
        <v>7103568</v>
      </c>
      <c r="AC96" s="608">
        <v>0</v>
      </c>
      <c r="AD96" s="608">
        <f>-$AB87</f>
        <v>2367856</v>
      </c>
      <c r="AE96" s="609">
        <v>0</v>
      </c>
      <c r="AF96" s="608">
        <v>0</v>
      </c>
      <c r="AG96" s="608">
        <v>0</v>
      </c>
      <c r="AH96" s="608">
        <v>0</v>
      </c>
      <c r="AI96" s="608"/>
      <c r="AJ96" s="608"/>
      <c r="AK96" s="608"/>
      <c r="AL96" s="608"/>
      <c r="AM96" s="608">
        <v>0</v>
      </c>
      <c r="AN96" s="608"/>
      <c r="AO96" s="610">
        <f>SUM(AC96:AN96)</f>
        <v>2367856</v>
      </c>
      <c r="AP96" s="608">
        <v>0</v>
      </c>
      <c r="AQ96" s="608">
        <f>-$AG87</f>
        <v>2367856</v>
      </c>
      <c r="AR96" s="608"/>
      <c r="AS96" s="608"/>
      <c r="AT96" s="608"/>
      <c r="AU96" s="608"/>
      <c r="AV96" s="608"/>
      <c r="AW96" s="608"/>
      <c r="AX96" s="608"/>
      <c r="AY96" s="608"/>
      <c r="AZ96" s="611"/>
      <c r="BA96" s="608"/>
      <c r="BB96" s="610">
        <f t="shared" si="16"/>
        <v>2367856</v>
      </c>
      <c r="BC96" s="608"/>
      <c r="BD96" s="608"/>
      <c r="BE96" s="608"/>
      <c r="BF96" s="608"/>
      <c r="BG96" s="608"/>
      <c r="BH96" s="608"/>
      <c r="BI96" s="608"/>
      <c r="BJ96" s="608"/>
      <c r="BK96" s="608"/>
      <c r="BL96" s="608"/>
      <c r="BM96" s="611"/>
      <c r="BN96" s="608"/>
      <c r="BO96" s="610">
        <f t="shared" ref="BO96:BO98" si="18">SUM(BC96:BN96)</f>
        <v>0</v>
      </c>
      <c r="BP96" s="612">
        <f>O96+AB96+AO96+BB96+BO96</f>
        <v>15525972.550000001</v>
      </c>
    </row>
    <row r="97" spans="1:68" ht="13.5" customHeight="1" thickBot="1">
      <c r="A97" s="606" t="s">
        <v>740</v>
      </c>
      <c r="B97" s="620">
        <f>'Model Assumptions'!D33</f>
        <v>0.01</v>
      </c>
      <c r="C97" s="608">
        <f>C95*$B$97</f>
        <v>0</v>
      </c>
      <c r="D97" s="608">
        <f t="shared" ref="D97:N97" si="19">D95*$B$97</f>
        <v>0</v>
      </c>
      <c r="E97" s="608">
        <f t="shared" si="19"/>
        <v>0</v>
      </c>
      <c r="F97" s="608">
        <f t="shared" si="19"/>
        <v>0</v>
      </c>
      <c r="G97" s="608">
        <f t="shared" si="19"/>
        <v>0</v>
      </c>
      <c r="H97" s="608">
        <f t="shared" si="19"/>
        <v>0</v>
      </c>
      <c r="I97" s="608">
        <f t="shared" si="19"/>
        <v>0</v>
      </c>
      <c r="J97" s="608">
        <f t="shared" si="19"/>
        <v>42080.012500000004</v>
      </c>
      <c r="K97" s="608">
        <f t="shared" si="19"/>
        <v>0</v>
      </c>
      <c r="L97" s="608">
        <f t="shared" si="19"/>
        <v>0</v>
      </c>
      <c r="M97" s="608">
        <f t="shared" si="19"/>
        <v>50087.301200000002</v>
      </c>
      <c r="N97" s="608">
        <f t="shared" si="19"/>
        <v>0</v>
      </c>
      <c r="O97" s="610">
        <f t="shared" si="14"/>
        <v>92167.313699999999</v>
      </c>
      <c r="P97" s="608">
        <f>P95*$B$97</f>
        <v>0</v>
      </c>
      <c r="Q97" s="608">
        <f t="shared" ref="Q97:AA97" si="20">Q95*$B$97</f>
        <v>59196.4</v>
      </c>
      <c r="R97" s="608">
        <f t="shared" si="20"/>
        <v>0</v>
      </c>
      <c r="S97" s="608">
        <f t="shared" si="20"/>
        <v>0</v>
      </c>
      <c r="T97" s="608">
        <f t="shared" si="20"/>
        <v>59196.4</v>
      </c>
      <c r="U97" s="608">
        <f t="shared" si="20"/>
        <v>0</v>
      </c>
      <c r="V97" s="608">
        <f t="shared" si="20"/>
        <v>0</v>
      </c>
      <c r="W97" s="608">
        <f t="shared" si="20"/>
        <v>59196.4</v>
      </c>
      <c r="X97" s="608">
        <f t="shared" si="20"/>
        <v>0</v>
      </c>
      <c r="Y97" s="608">
        <f t="shared" si="20"/>
        <v>0</v>
      </c>
      <c r="Z97" s="608">
        <f t="shared" si="20"/>
        <v>0</v>
      </c>
      <c r="AA97" s="608">
        <f t="shared" si="20"/>
        <v>0</v>
      </c>
      <c r="AB97" s="610">
        <f t="shared" si="15"/>
        <v>177589.2</v>
      </c>
      <c r="AC97" s="608">
        <f>AC95*$B$97</f>
        <v>0</v>
      </c>
      <c r="AD97" s="608">
        <f t="shared" ref="AD97:AN97" si="21">AD95*$B$97</f>
        <v>59196.4</v>
      </c>
      <c r="AE97" s="608">
        <f t="shared" si="21"/>
        <v>0</v>
      </c>
      <c r="AF97" s="608">
        <f t="shared" si="21"/>
        <v>0</v>
      </c>
      <c r="AG97" s="608">
        <f t="shared" si="21"/>
        <v>0</v>
      </c>
      <c r="AH97" s="608">
        <f t="shared" si="21"/>
        <v>0</v>
      </c>
      <c r="AI97" s="608">
        <f t="shared" si="21"/>
        <v>0</v>
      </c>
      <c r="AJ97" s="608">
        <f t="shared" si="21"/>
        <v>0</v>
      </c>
      <c r="AK97" s="608">
        <f t="shared" si="21"/>
        <v>0</v>
      </c>
      <c r="AL97" s="608">
        <f t="shared" si="21"/>
        <v>0</v>
      </c>
      <c r="AM97" s="608">
        <f t="shared" si="21"/>
        <v>0</v>
      </c>
      <c r="AN97" s="608">
        <f t="shared" si="21"/>
        <v>0</v>
      </c>
      <c r="AO97" s="610">
        <f>SUM(AC97:AN97)</f>
        <v>59196.4</v>
      </c>
      <c r="AP97" s="608">
        <f>AP95*$B$97</f>
        <v>0</v>
      </c>
      <c r="AQ97" s="608">
        <f t="shared" ref="AQ97:BA97" si="22">AQ95*$B$97</f>
        <v>59196.4</v>
      </c>
      <c r="AR97" s="608">
        <f t="shared" si="22"/>
        <v>0</v>
      </c>
      <c r="AS97" s="608">
        <f t="shared" si="22"/>
        <v>0</v>
      </c>
      <c r="AT97" s="608">
        <f t="shared" si="22"/>
        <v>0</v>
      </c>
      <c r="AU97" s="608">
        <f t="shared" si="22"/>
        <v>0</v>
      </c>
      <c r="AV97" s="608">
        <f t="shared" si="22"/>
        <v>0</v>
      </c>
      <c r="AW97" s="608">
        <f t="shared" si="22"/>
        <v>0</v>
      </c>
      <c r="AX97" s="608">
        <f t="shared" si="22"/>
        <v>0</v>
      </c>
      <c r="AY97" s="608">
        <f t="shared" si="22"/>
        <v>0</v>
      </c>
      <c r="AZ97" s="608">
        <f t="shared" si="22"/>
        <v>0</v>
      </c>
      <c r="BA97" s="608">
        <f t="shared" si="22"/>
        <v>0</v>
      </c>
      <c r="BB97" s="610">
        <f t="shared" si="16"/>
        <v>59196.4</v>
      </c>
      <c r="BC97" s="608">
        <f>BC95*$B$97</f>
        <v>0</v>
      </c>
      <c r="BD97" s="608">
        <f t="shared" ref="BD97:BN97" si="23">BD95*$B$97</f>
        <v>0</v>
      </c>
      <c r="BE97" s="608">
        <f t="shared" si="23"/>
        <v>0</v>
      </c>
      <c r="BF97" s="608">
        <f t="shared" si="23"/>
        <v>0</v>
      </c>
      <c r="BG97" s="608">
        <f t="shared" si="23"/>
        <v>0</v>
      </c>
      <c r="BH97" s="608">
        <f t="shared" si="23"/>
        <v>0</v>
      </c>
      <c r="BI97" s="608">
        <f t="shared" si="23"/>
        <v>0</v>
      </c>
      <c r="BJ97" s="608">
        <f t="shared" si="23"/>
        <v>0</v>
      </c>
      <c r="BK97" s="608">
        <f t="shared" si="23"/>
        <v>0</v>
      </c>
      <c r="BL97" s="608">
        <f t="shared" si="23"/>
        <v>0</v>
      </c>
      <c r="BM97" s="608">
        <f t="shared" si="23"/>
        <v>0</v>
      </c>
      <c r="BN97" s="608">
        <f t="shared" si="23"/>
        <v>0</v>
      </c>
      <c r="BO97" s="610">
        <f t="shared" si="18"/>
        <v>0</v>
      </c>
      <c r="BP97" s="612">
        <f>O97+AB97+AO97+BB97+BO97</f>
        <v>388149.31370000006</v>
      </c>
    </row>
    <row r="98" spans="1:68" ht="13.5" customHeight="1" thickBot="1">
      <c r="A98" s="606" t="s">
        <v>866</v>
      </c>
      <c r="B98" s="620">
        <v>0.1</v>
      </c>
      <c r="C98" s="608">
        <v>0</v>
      </c>
      <c r="D98" s="608">
        <v>0</v>
      </c>
      <c r="E98" s="608">
        <v>0</v>
      </c>
      <c r="F98" s="608">
        <v>50000</v>
      </c>
      <c r="G98" s="608">
        <v>0</v>
      </c>
      <c r="H98" s="608">
        <v>50000</v>
      </c>
      <c r="I98" s="608">
        <f t="shared" ref="I98:BN98" si="24">(I95-I96)*$B$98</f>
        <v>0</v>
      </c>
      <c r="J98" s="608">
        <f>(J95)*$B$98-SUM(F98:I98)</f>
        <v>320800.125</v>
      </c>
      <c r="K98" s="608">
        <f>(K95)*$B$98</f>
        <v>0</v>
      </c>
      <c r="L98" s="608">
        <f t="shared" si="24"/>
        <v>0</v>
      </c>
      <c r="M98" s="608">
        <f t="shared" si="24"/>
        <v>300523.80700000003</v>
      </c>
      <c r="N98" s="608">
        <f>(N95)*$B$98</f>
        <v>0</v>
      </c>
      <c r="O98" s="610">
        <f t="shared" si="14"/>
        <v>721323.93200000003</v>
      </c>
      <c r="P98" s="608">
        <f t="shared" si="24"/>
        <v>0</v>
      </c>
      <c r="Q98" s="608">
        <f t="shared" si="24"/>
        <v>355178.4</v>
      </c>
      <c r="R98" s="608">
        <f>(R95)*$B$98</f>
        <v>0</v>
      </c>
      <c r="S98" s="608">
        <f t="shared" si="24"/>
        <v>0</v>
      </c>
      <c r="T98" s="608">
        <f t="shared" si="24"/>
        <v>355178.4</v>
      </c>
      <c r="U98" s="608">
        <f>(U95)*$B$98</f>
        <v>0</v>
      </c>
      <c r="V98" s="608">
        <f t="shared" si="24"/>
        <v>0</v>
      </c>
      <c r="W98" s="608">
        <f t="shared" si="24"/>
        <v>355178.4</v>
      </c>
      <c r="X98" s="608">
        <f t="shared" si="24"/>
        <v>0</v>
      </c>
      <c r="Y98" s="608">
        <f t="shared" si="24"/>
        <v>0</v>
      </c>
      <c r="Z98" s="608">
        <f t="shared" si="24"/>
        <v>0</v>
      </c>
      <c r="AA98" s="608">
        <f t="shared" si="24"/>
        <v>0</v>
      </c>
      <c r="AB98" s="610">
        <f t="shared" si="15"/>
        <v>1065535.2000000002</v>
      </c>
      <c r="AC98" s="608">
        <f t="shared" si="24"/>
        <v>0</v>
      </c>
      <c r="AD98" s="608">
        <f>(AD95)*$B$98</f>
        <v>591964</v>
      </c>
      <c r="AE98" s="608">
        <f t="shared" si="24"/>
        <v>0</v>
      </c>
      <c r="AF98" s="608">
        <f t="shared" si="24"/>
        <v>0</v>
      </c>
      <c r="AG98" s="608">
        <f t="shared" si="24"/>
        <v>0</v>
      </c>
      <c r="AH98" s="608">
        <f t="shared" si="24"/>
        <v>0</v>
      </c>
      <c r="AI98" s="608">
        <f t="shared" si="24"/>
        <v>0</v>
      </c>
      <c r="AJ98" s="608">
        <f t="shared" si="24"/>
        <v>0</v>
      </c>
      <c r="AK98" s="608">
        <f t="shared" si="24"/>
        <v>0</v>
      </c>
      <c r="AL98" s="608">
        <f t="shared" si="24"/>
        <v>0</v>
      </c>
      <c r="AM98" s="608">
        <f t="shared" si="24"/>
        <v>0</v>
      </c>
      <c r="AN98" s="608">
        <f t="shared" si="24"/>
        <v>0</v>
      </c>
      <c r="AO98" s="610">
        <f>SUM(AC98:AN98)</f>
        <v>591964</v>
      </c>
      <c r="AP98" s="608">
        <f t="shared" si="24"/>
        <v>0</v>
      </c>
      <c r="AQ98" s="608">
        <f>(AQ95)*$B$98</f>
        <v>591964</v>
      </c>
      <c r="AR98" s="608">
        <f t="shared" si="24"/>
        <v>0</v>
      </c>
      <c r="AS98" s="608">
        <f t="shared" si="24"/>
        <v>0</v>
      </c>
      <c r="AT98" s="608">
        <f t="shared" si="24"/>
        <v>0</v>
      </c>
      <c r="AU98" s="608">
        <f t="shared" si="24"/>
        <v>0</v>
      </c>
      <c r="AV98" s="608">
        <f t="shared" si="24"/>
        <v>0</v>
      </c>
      <c r="AW98" s="608">
        <f t="shared" si="24"/>
        <v>0</v>
      </c>
      <c r="AX98" s="608">
        <f t="shared" si="24"/>
        <v>0</v>
      </c>
      <c r="AY98" s="608">
        <f t="shared" si="24"/>
        <v>0</v>
      </c>
      <c r="AZ98" s="608">
        <f t="shared" si="24"/>
        <v>0</v>
      </c>
      <c r="BA98" s="608">
        <f t="shared" si="24"/>
        <v>0</v>
      </c>
      <c r="BB98" s="610">
        <f t="shared" si="16"/>
        <v>591964</v>
      </c>
      <c r="BC98" s="608">
        <f t="shared" si="24"/>
        <v>0</v>
      </c>
      <c r="BD98" s="608">
        <f t="shared" si="24"/>
        <v>0</v>
      </c>
      <c r="BE98" s="608">
        <f t="shared" si="24"/>
        <v>0</v>
      </c>
      <c r="BF98" s="608">
        <f t="shared" si="24"/>
        <v>0</v>
      </c>
      <c r="BG98" s="608">
        <f t="shared" si="24"/>
        <v>0</v>
      </c>
      <c r="BH98" s="608">
        <f t="shared" si="24"/>
        <v>0</v>
      </c>
      <c r="BI98" s="608">
        <f t="shared" si="24"/>
        <v>0</v>
      </c>
      <c r="BJ98" s="608">
        <f t="shared" si="24"/>
        <v>0</v>
      </c>
      <c r="BK98" s="608">
        <f t="shared" si="24"/>
        <v>0</v>
      </c>
      <c r="BL98" s="608">
        <f t="shared" si="24"/>
        <v>0</v>
      </c>
      <c r="BM98" s="608">
        <f t="shared" si="24"/>
        <v>0</v>
      </c>
      <c r="BN98" s="608">
        <f t="shared" si="24"/>
        <v>0</v>
      </c>
      <c r="BO98" s="610">
        <f t="shared" si="18"/>
        <v>0</v>
      </c>
      <c r="BP98" s="612">
        <f>O98+AB98+AO98+BB98+BO98</f>
        <v>2970787.1320000002</v>
      </c>
    </row>
    <row r="99" spans="1:68" s="618" customFormat="1" ht="13.5" customHeight="1" thickBot="1">
      <c r="A99" s="613" t="s">
        <v>727</v>
      </c>
      <c r="B99" s="614"/>
      <c r="C99" s="615">
        <f>C95-C96-C97-C98</f>
        <v>0</v>
      </c>
      <c r="D99" s="615">
        <f t="shared" ref="D99:N99" si="25">D95-D96-D97-D98</f>
        <v>0</v>
      </c>
      <c r="E99" s="615">
        <f t="shared" si="25"/>
        <v>0</v>
      </c>
      <c r="F99" s="615">
        <f t="shared" si="25"/>
        <v>-50000</v>
      </c>
      <c r="G99" s="615">
        <f t="shared" si="25"/>
        <v>0</v>
      </c>
      <c r="H99" s="615">
        <f t="shared" si="25"/>
        <v>-50000</v>
      </c>
      <c r="I99" s="615">
        <f t="shared" si="25"/>
        <v>0</v>
      </c>
      <c r="J99" s="615">
        <f t="shared" si="25"/>
        <v>2161920.6124999998</v>
      </c>
      <c r="K99" s="615">
        <f t="shared" si="25"/>
        <v>0</v>
      </c>
      <c r="L99" s="615">
        <f t="shared" si="25"/>
        <v>0</v>
      </c>
      <c r="M99" s="615">
        <f t="shared" si="25"/>
        <v>2654626.9618000002</v>
      </c>
      <c r="N99" s="615">
        <f t="shared" si="25"/>
        <v>0</v>
      </c>
      <c r="O99" s="616">
        <f t="shared" ref="O99" si="26">SUM(C99:N99)</f>
        <v>4716547.5743000004</v>
      </c>
      <c r="P99" s="615">
        <f>P95-P96-P97-P98</f>
        <v>0</v>
      </c>
      <c r="Q99" s="615">
        <f t="shared" ref="Q99:AA99" si="27">Q95-Q96-Q97-Q98</f>
        <v>3137409.2</v>
      </c>
      <c r="R99" s="615">
        <f t="shared" si="27"/>
        <v>0</v>
      </c>
      <c r="S99" s="615">
        <f t="shared" si="27"/>
        <v>0</v>
      </c>
      <c r="T99" s="615">
        <f t="shared" si="27"/>
        <v>3137409.2</v>
      </c>
      <c r="U99" s="615">
        <f t="shared" si="27"/>
        <v>0</v>
      </c>
      <c r="V99" s="615">
        <f t="shared" si="27"/>
        <v>0</v>
      </c>
      <c r="W99" s="615">
        <f t="shared" si="27"/>
        <v>3137409.2</v>
      </c>
      <c r="X99" s="615">
        <f t="shared" si="27"/>
        <v>0</v>
      </c>
      <c r="Y99" s="615">
        <f t="shared" si="27"/>
        <v>0</v>
      </c>
      <c r="Z99" s="615">
        <f t="shared" si="27"/>
        <v>0</v>
      </c>
      <c r="AA99" s="615">
        <f t="shared" si="27"/>
        <v>0</v>
      </c>
      <c r="AB99" s="616">
        <f t="shared" ref="AB99" si="28">SUM(P99:AA99)</f>
        <v>9412227.6000000015</v>
      </c>
      <c r="AC99" s="615">
        <f>AC95-AC96-AC97-AC98</f>
        <v>0</v>
      </c>
      <c r="AD99" s="615">
        <f t="shared" ref="AD99:AN99" si="29">AD95-AD96-AD97-AD98</f>
        <v>2900623.6</v>
      </c>
      <c r="AE99" s="615">
        <f t="shared" si="29"/>
        <v>0</v>
      </c>
      <c r="AF99" s="615">
        <f t="shared" si="29"/>
        <v>0</v>
      </c>
      <c r="AG99" s="615">
        <f t="shared" si="29"/>
        <v>0</v>
      </c>
      <c r="AH99" s="615">
        <f t="shared" si="29"/>
        <v>0</v>
      </c>
      <c r="AI99" s="615">
        <f t="shared" si="29"/>
        <v>0</v>
      </c>
      <c r="AJ99" s="615">
        <f t="shared" si="29"/>
        <v>0</v>
      </c>
      <c r="AK99" s="615">
        <f t="shared" si="29"/>
        <v>0</v>
      </c>
      <c r="AL99" s="615">
        <f t="shared" si="29"/>
        <v>0</v>
      </c>
      <c r="AM99" s="615">
        <f t="shared" si="29"/>
        <v>0</v>
      </c>
      <c r="AN99" s="615">
        <f t="shared" si="29"/>
        <v>0</v>
      </c>
      <c r="AO99" s="616">
        <f>SUM(AC99:AN99)</f>
        <v>2900623.6</v>
      </c>
      <c r="AP99" s="615">
        <f>AP95-AP96-AP97-AP98</f>
        <v>0</v>
      </c>
      <c r="AQ99" s="615">
        <f t="shared" ref="AQ99:BA99" si="30">AQ95-AQ96-AQ97-AQ98</f>
        <v>2900623.6</v>
      </c>
      <c r="AR99" s="615">
        <f t="shared" si="30"/>
        <v>0</v>
      </c>
      <c r="AS99" s="615">
        <f t="shared" si="30"/>
        <v>0</v>
      </c>
      <c r="AT99" s="615">
        <f t="shared" si="30"/>
        <v>0</v>
      </c>
      <c r="AU99" s="615">
        <f t="shared" si="30"/>
        <v>0</v>
      </c>
      <c r="AV99" s="615">
        <f t="shared" si="30"/>
        <v>0</v>
      </c>
      <c r="AW99" s="615">
        <f t="shared" si="30"/>
        <v>0</v>
      </c>
      <c r="AX99" s="615">
        <f t="shared" si="30"/>
        <v>0</v>
      </c>
      <c r="AY99" s="615">
        <f t="shared" si="30"/>
        <v>0</v>
      </c>
      <c r="AZ99" s="615">
        <f t="shared" si="30"/>
        <v>0</v>
      </c>
      <c r="BA99" s="615">
        <f t="shared" si="30"/>
        <v>0</v>
      </c>
      <c r="BB99" s="616">
        <f t="shared" ref="BB99" si="31">SUM(AP99:BA99)</f>
        <v>2900623.6</v>
      </c>
      <c r="BC99" s="615">
        <f>BC95-BC96-BC97-BC98</f>
        <v>0</v>
      </c>
      <c r="BD99" s="615">
        <f t="shared" ref="BD99:BN99" si="32">BD95-BD96-BD97-BD98</f>
        <v>0</v>
      </c>
      <c r="BE99" s="615">
        <f t="shared" si="32"/>
        <v>0</v>
      </c>
      <c r="BF99" s="615">
        <f t="shared" si="32"/>
        <v>0</v>
      </c>
      <c r="BG99" s="615">
        <f t="shared" si="32"/>
        <v>0</v>
      </c>
      <c r="BH99" s="615">
        <f t="shared" si="32"/>
        <v>0</v>
      </c>
      <c r="BI99" s="615">
        <f t="shared" si="32"/>
        <v>0</v>
      </c>
      <c r="BJ99" s="615">
        <f t="shared" si="32"/>
        <v>0</v>
      </c>
      <c r="BK99" s="615">
        <f t="shared" si="32"/>
        <v>0</v>
      </c>
      <c r="BL99" s="615">
        <f t="shared" si="32"/>
        <v>0</v>
      </c>
      <c r="BM99" s="615">
        <f t="shared" si="32"/>
        <v>0</v>
      </c>
      <c r="BN99" s="615">
        <f t="shared" si="32"/>
        <v>0</v>
      </c>
      <c r="BO99" s="616">
        <f t="shared" ref="BO99" si="33">SUM(BC99:BN99)</f>
        <v>0</v>
      </c>
      <c r="BP99" s="617">
        <f>O99+AB99+AO99+BB99+BO99</f>
        <v>19930022.374300003</v>
      </c>
    </row>
    <row r="100" spans="1:68" s="556" customFormat="1">
      <c r="B100" s="543"/>
      <c r="C100" s="543"/>
      <c r="D100" s="543" t="s">
        <v>742</v>
      </c>
      <c r="E100" s="543"/>
      <c r="F100" s="543" t="s">
        <v>742</v>
      </c>
      <c r="G100" s="543"/>
      <c r="H100" s="543"/>
      <c r="J100" s="551"/>
      <c r="L100" s="543"/>
      <c r="O100" s="543"/>
      <c r="Q100" s="543"/>
      <c r="T100" s="543"/>
      <c r="V100" s="543"/>
      <c r="Y100" s="543"/>
      <c r="AB100" s="619"/>
    </row>
    <row r="101" spans="1:68" ht="16" thickBot="1"/>
    <row r="102" spans="1:68" ht="16" thickBot="1">
      <c r="A102" s="658" t="s">
        <v>865</v>
      </c>
      <c r="B102" s="659">
        <v>0.13</v>
      </c>
      <c r="C102" s="660">
        <v>0</v>
      </c>
      <c r="D102" s="660">
        <v>50000</v>
      </c>
      <c r="E102" s="660">
        <v>0</v>
      </c>
      <c r="F102" s="660">
        <v>50000</v>
      </c>
      <c r="G102" s="660">
        <v>0</v>
      </c>
      <c r="H102" s="660">
        <f>(H95-H96)*$B$102-SUM(D98:G98)</f>
        <v>-50000</v>
      </c>
      <c r="I102" s="660">
        <f t="shared" ref="I102:BN102" si="34">(I99-I100)*$B$98</f>
        <v>0</v>
      </c>
      <c r="J102" s="660">
        <f>(J99-J100)*$B$98</f>
        <v>216192.06125</v>
      </c>
      <c r="K102" s="660">
        <f>(K95-K96)*$B$102</f>
        <v>0</v>
      </c>
      <c r="L102" s="660">
        <f t="shared" si="34"/>
        <v>0</v>
      </c>
      <c r="M102" s="660">
        <f t="shared" si="34"/>
        <v>265462.69618000003</v>
      </c>
      <c r="N102" s="660">
        <f>(N95-N96)*$B$102</f>
        <v>0</v>
      </c>
      <c r="O102" s="661">
        <f t="shared" ref="O102" si="35">SUM(C102:N102)</f>
        <v>531654.75743</v>
      </c>
      <c r="P102" s="660">
        <f t="shared" si="34"/>
        <v>0</v>
      </c>
      <c r="Q102" s="660">
        <f t="shared" si="34"/>
        <v>313740.92000000004</v>
      </c>
      <c r="R102" s="660">
        <f>(R95-R96)*$B$102</f>
        <v>0</v>
      </c>
      <c r="S102" s="660">
        <f t="shared" si="34"/>
        <v>0</v>
      </c>
      <c r="T102" s="660">
        <f t="shared" si="34"/>
        <v>313740.92000000004</v>
      </c>
      <c r="U102" s="660">
        <f>(U95-U96)*$B$102</f>
        <v>0</v>
      </c>
      <c r="V102" s="660">
        <f t="shared" si="34"/>
        <v>0</v>
      </c>
      <c r="W102" s="660">
        <f t="shared" si="34"/>
        <v>313740.92000000004</v>
      </c>
      <c r="X102" s="660">
        <f t="shared" si="34"/>
        <v>0</v>
      </c>
      <c r="Y102" s="660">
        <f t="shared" si="34"/>
        <v>0</v>
      </c>
      <c r="Z102" s="660">
        <f t="shared" si="34"/>
        <v>0</v>
      </c>
      <c r="AA102" s="660">
        <f t="shared" si="34"/>
        <v>0</v>
      </c>
      <c r="AB102" s="661">
        <f t="shared" ref="AB102" si="36">SUM(P102:AA102)</f>
        <v>941222.76000000013</v>
      </c>
      <c r="AC102" s="660">
        <f t="shared" si="34"/>
        <v>0</v>
      </c>
      <c r="AD102" s="660">
        <f>(AD95-AD96)*$B$102</f>
        <v>461731.92000000004</v>
      </c>
      <c r="AE102" s="660">
        <f t="shared" si="34"/>
        <v>0</v>
      </c>
      <c r="AF102" s="660">
        <f t="shared" si="34"/>
        <v>0</v>
      </c>
      <c r="AG102" s="660">
        <f t="shared" si="34"/>
        <v>0</v>
      </c>
      <c r="AH102" s="660">
        <f t="shared" si="34"/>
        <v>0</v>
      </c>
      <c r="AI102" s="660">
        <f t="shared" si="34"/>
        <v>0</v>
      </c>
      <c r="AJ102" s="660">
        <f t="shared" si="34"/>
        <v>0</v>
      </c>
      <c r="AK102" s="660">
        <f t="shared" si="34"/>
        <v>0</v>
      </c>
      <c r="AL102" s="660">
        <f t="shared" si="34"/>
        <v>0</v>
      </c>
      <c r="AM102" s="660">
        <f t="shared" si="34"/>
        <v>0</v>
      </c>
      <c r="AN102" s="660">
        <f t="shared" si="34"/>
        <v>0</v>
      </c>
      <c r="AO102" s="661">
        <f>SUM(AC102:AN102)</f>
        <v>461731.92000000004</v>
      </c>
      <c r="AP102" s="660">
        <f t="shared" si="34"/>
        <v>0</v>
      </c>
      <c r="AQ102" s="660">
        <f>(AQ95-AQ96)*$B$102</f>
        <v>461731.92000000004</v>
      </c>
      <c r="AR102" s="660">
        <f t="shared" si="34"/>
        <v>0</v>
      </c>
      <c r="AS102" s="660">
        <f t="shared" si="34"/>
        <v>0</v>
      </c>
      <c r="AT102" s="660">
        <f t="shared" si="34"/>
        <v>0</v>
      </c>
      <c r="AU102" s="660">
        <f t="shared" si="34"/>
        <v>0</v>
      </c>
      <c r="AV102" s="660">
        <f t="shared" si="34"/>
        <v>0</v>
      </c>
      <c r="AW102" s="660">
        <f t="shared" si="34"/>
        <v>0</v>
      </c>
      <c r="AX102" s="660">
        <f t="shared" si="34"/>
        <v>0</v>
      </c>
      <c r="AY102" s="660">
        <f t="shared" si="34"/>
        <v>0</v>
      </c>
      <c r="AZ102" s="660">
        <f t="shared" si="34"/>
        <v>0</v>
      </c>
      <c r="BA102" s="660">
        <f t="shared" si="34"/>
        <v>0</v>
      </c>
      <c r="BB102" s="661">
        <f t="shared" ref="BB102" si="37">SUM(AP102:BA102)</f>
        <v>461731.92000000004</v>
      </c>
      <c r="BC102" s="660">
        <f t="shared" si="34"/>
        <v>0</v>
      </c>
      <c r="BD102" s="660">
        <f t="shared" si="34"/>
        <v>0</v>
      </c>
      <c r="BE102" s="660">
        <f t="shared" si="34"/>
        <v>0</v>
      </c>
      <c r="BF102" s="660">
        <f t="shared" si="34"/>
        <v>0</v>
      </c>
      <c r="BG102" s="660">
        <f t="shared" si="34"/>
        <v>0</v>
      </c>
      <c r="BH102" s="660">
        <f t="shared" si="34"/>
        <v>0</v>
      </c>
      <c r="BI102" s="660">
        <f t="shared" si="34"/>
        <v>0</v>
      </c>
      <c r="BJ102" s="660">
        <f t="shared" si="34"/>
        <v>0</v>
      </c>
      <c r="BK102" s="660">
        <f t="shared" si="34"/>
        <v>0</v>
      </c>
      <c r="BL102" s="660">
        <f t="shared" si="34"/>
        <v>0</v>
      </c>
      <c r="BM102" s="660">
        <f t="shared" si="34"/>
        <v>0</v>
      </c>
      <c r="BN102" s="660">
        <f t="shared" si="34"/>
        <v>0</v>
      </c>
      <c r="BO102" s="661">
        <f t="shared" ref="BO102" si="38">SUM(BC102:BN102)</f>
        <v>0</v>
      </c>
      <c r="BP102" s="662">
        <f>O102+AB102+AO102+BB102+BO102</f>
        <v>2396341.3574299999</v>
      </c>
    </row>
    <row r="103" spans="1:68" ht="16" thickBot="1"/>
    <row r="104" spans="1:68" ht="16" thickBot="1">
      <c r="A104" s="666" t="s">
        <v>867</v>
      </c>
      <c r="B104" s="663"/>
      <c r="C104" s="663"/>
      <c r="D104" s="664">
        <f>D98-D102</f>
        <v>-50000</v>
      </c>
      <c r="E104" s="663"/>
      <c r="F104" s="664">
        <f>F98-F102</f>
        <v>0</v>
      </c>
      <c r="G104" s="663"/>
      <c r="H104" s="664">
        <f>H98-H102</f>
        <v>100000</v>
      </c>
      <c r="I104" s="663"/>
      <c r="J104" s="663"/>
      <c r="K104" s="664">
        <f>K98-K102</f>
        <v>0</v>
      </c>
      <c r="L104" s="663"/>
      <c r="M104" s="663"/>
      <c r="N104" s="664">
        <f>N98-N102</f>
        <v>0</v>
      </c>
      <c r="O104" s="663"/>
      <c r="P104" s="663"/>
      <c r="Q104" s="663"/>
      <c r="R104" s="664">
        <f>R98-R102</f>
        <v>0</v>
      </c>
      <c r="S104" s="663"/>
      <c r="T104" s="663"/>
      <c r="U104" s="664">
        <f>U98-U102</f>
        <v>0</v>
      </c>
      <c r="V104" s="663"/>
      <c r="W104" s="663"/>
      <c r="X104" s="663"/>
      <c r="Y104" s="663"/>
      <c r="Z104" s="663"/>
      <c r="AA104" s="663"/>
      <c r="AB104" s="663"/>
      <c r="AC104" s="663"/>
      <c r="AD104" s="664">
        <f>AD98-AD102</f>
        <v>130232.07999999996</v>
      </c>
      <c r="AE104" s="663"/>
      <c r="AF104" s="663"/>
      <c r="AG104" s="663"/>
      <c r="AH104" s="663"/>
      <c r="AI104" s="663"/>
      <c r="AJ104" s="663"/>
      <c r="AK104" s="663"/>
      <c r="AL104" s="663"/>
      <c r="AM104" s="663"/>
      <c r="AN104" s="663"/>
      <c r="AO104" s="663"/>
      <c r="AP104" s="663"/>
      <c r="AQ104" s="664">
        <f>AQ98-AQ102</f>
        <v>130232.07999999996</v>
      </c>
      <c r="AR104" s="663"/>
      <c r="AS104" s="663"/>
      <c r="AT104" s="663"/>
      <c r="AU104" s="663"/>
      <c r="AV104" s="663"/>
      <c r="AW104" s="663"/>
      <c r="AX104" s="663"/>
      <c r="AY104" s="663"/>
      <c r="AZ104" s="663"/>
      <c r="BA104" s="663"/>
      <c r="BB104" s="663"/>
      <c r="BC104" s="663"/>
      <c r="BD104" s="663"/>
      <c r="BE104" s="663"/>
      <c r="BF104" s="663"/>
      <c r="BG104" s="663"/>
      <c r="BH104" s="663"/>
      <c r="BI104" s="663"/>
      <c r="BJ104" s="663"/>
      <c r="BK104" s="663"/>
      <c r="BL104" s="663"/>
      <c r="BM104" s="663"/>
      <c r="BN104" s="663"/>
      <c r="BO104" s="663"/>
      <c r="BP104" s="665">
        <f>BP98-BP102</f>
        <v>574445.77457000036</v>
      </c>
    </row>
  </sheetData>
  <mergeCells count="120">
    <mergeCell ref="AF21:AF22"/>
    <mergeCell ref="AG21:AG22"/>
    <mergeCell ref="AH21:AH22"/>
    <mergeCell ref="V21:V22"/>
    <mergeCell ref="W21:W22"/>
    <mergeCell ref="X21:X22"/>
    <mergeCell ref="AA21:AA22"/>
    <mergeCell ref="AB21:AB22"/>
    <mergeCell ref="Q21:Q22"/>
    <mergeCell ref="R21:R22"/>
    <mergeCell ref="S21:S22"/>
    <mergeCell ref="H21:H22"/>
    <mergeCell ref="I21:I22"/>
    <mergeCell ref="J21:J22"/>
    <mergeCell ref="L21:L22"/>
    <mergeCell ref="M21:M22"/>
    <mergeCell ref="AC21:AC22"/>
    <mergeCell ref="B21:B22"/>
    <mergeCell ref="C21:C22"/>
    <mergeCell ref="D21:D22"/>
    <mergeCell ref="E21:E22"/>
    <mergeCell ref="G21:G22"/>
    <mergeCell ref="N21:N22"/>
    <mergeCell ref="O21:O22"/>
    <mergeCell ref="O5:O6"/>
    <mergeCell ref="B5:B6"/>
    <mergeCell ref="C5:C6"/>
    <mergeCell ref="D5:D6"/>
    <mergeCell ref="E5:E6"/>
    <mergeCell ref="G5:G6"/>
    <mergeCell ref="H5:H6"/>
    <mergeCell ref="I5:I6"/>
    <mergeCell ref="J5:J6"/>
    <mergeCell ref="L5:L6"/>
    <mergeCell ref="M5:M6"/>
    <mergeCell ref="N5:N6"/>
    <mergeCell ref="AH5:AH6"/>
    <mergeCell ref="Q5:Q6"/>
    <mergeCell ref="R5:R6"/>
    <mergeCell ref="S5:S6"/>
    <mergeCell ref="V5:V6"/>
    <mergeCell ref="W5:W6"/>
    <mergeCell ref="X5:X6"/>
    <mergeCell ref="AA5:AA6"/>
    <mergeCell ref="AB5:AB6"/>
    <mergeCell ref="AC5:AC6"/>
    <mergeCell ref="AF5:AF6"/>
    <mergeCell ref="AG5:AG6"/>
    <mergeCell ref="O37:O38"/>
    <mergeCell ref="B37:B38"/>
    <mergeCell ref="C37:C38"/>
    <mergeCell ref="D37:D38"/>
    <mergeCell ref="E37:E38"/>
    <mergeCell ref="G37:G38"/>
    <mergeCell ref="H37:H38"/>
    <mergeCell ref="I37:I38"/>
    <mergeCell ref="J37:J38"/>
    <mergeCell ref="L37:L38"/>
    <mergeCell ref="M37:M38"/>
    <mergeCell ref="N37:N38"/>
    <mergeCell ref="AH37:AH38"/>
    <mergeCell ref="Q37:Q38"/>
    <mergeCell ref="R37:R38"/>
    <mergeCell ref="S37:S38"/>
    <mergeCell ref="V37:V38"/>
    <mergeCell ref="W37:W38"/>
    <mergeCell ref="X37:X38"/>
    <mergeCell ref="AA37:AA38"/>
    <mergeCell ref="AB37:AB38"/>
    <mergeCell ref="AC37:AC38"/>
    <mergeCell ref="AF37:AF38"/>
    <mergeCell ref="AG37:AG38"/>
    <mergeCell ref="O53:O54"/>
    <mergeCell ref="B53:B54"/>
    <mergeCell ref="C53:C54"/>
    <mergeCell ref="D53:D54"/>
    <mergeCell ref="E53:E54"/>
    <mergeCell ref="G53:G54"/>
    <mergeCell ref="H53:H54"/>
    <mergeCell ref="I53:I54"/>
    <mergeCell ref="J53:J54"/>
    <mergeCell ref="L53:L54"/>
    <mergeCell ref="M53:M54"/>
    <mergeCell ref="N53:N54"/>
    <mergeCell ref="AH53:AH54"/>
    <mergeCell ref="Q53:Q54"/>
    <mergeCell ref="R53:R54"/>
    <mergeCell ref="S53:S54"/>
    <mergeCell ref="V53:V54"/>
    <mergeCell ref="W53:W54"/>
    <mergeCell ref="X53:X54"/>
    <mergeCell ref="AA53:AA54"/>
    <mergeCell ref="AB53:AB54"/>
    <mergeCell ref="AC53:AC54"/>
    <mergeCell ref="AF53:AF54"/>
    <mergeCell ref="AG53:AG54"/>
    <mergeCell ref="O69:O70"/>
    <mergeCell ref="B69:B70"/>
    <mergeCell ref="C69:C70"/>
    <mergeCell ref="D69:D70"/>
    <mergeCell ref="E69:E70"/>
    <mergeCell ref="G69:G70"/>
    <mergeCell ref="H69:H70"/>
    <mergeCell ref="I69:I70"/>
    <mergeCell ref="J69:J70"/>
    <mergeCell ref="L69:L70"/>
    <mergeCell ref="M69:M70"/>
    <mergeCell ref="N69:N70"/>
    <mergeCell ref="AH69:AH70"/>
    <mergeCell ref="Q69:Q70"/>
    <mergeCell ref="R69:R70"/>
    <mergeCell ref="S69:S70"/>
    <mergeCell ref="V69:V70"/>
    <mergeCell ref="W69:W70"/>
    <mergeCell ref="X69:X70"/>
    <mergeCell ref="AA69:AA70"/>
    <mergeCell ref="AB69:AB70"/>
    <mergeCell ref="AC69:AC70"/>
    <mergeCell ref="AF69:AF70"/>
    <mergeCell ref="AG69:AG7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49C1-374E-C941-9E39-D05DDEAC957C}">
  <dimension ref="A2:BV106"/>
  <sheetViews>
    <sheetView topLeftCell="G73" zoomScaleNormal="100" workbookViewId="0">
      <selection activeCell="BM108" sqref="BM108"/>
    </sheetView>
  </sheetViews>
  <sheetFormatPr baseColWidth="10" defaultColWidth="9.1640625" defaultRowHeight="15"/>
  <cols>
    <col min="1" max="1" width="33.83203125" style="669" bestFit="1" customWidth="1"/>
    <col min="2" max="2" width="18.83203125" style="669" bestFit="1" customWidth="1"/>
    <col min="3" max="3" width="15" style="669" bestFit="1" customWidth="1"/>
    <col min="4" max="4" width="14.5" style="669" bestFit="1" customWidth="1"/>
    <col min="5" max="5" width="8.33203125" style="669" bestFit="1" customWidth="1"/>
    <col min="6" max="6" width="24.6640625" style="669" bestFit="1" customWidth="1"/>
    <col min="7" max="7" width="18.83203125" style="669" bestFit="1" customWidth="1"/>
    <col min="8" max="8" width="15" style="669" bestFit="1" customWidth="1"/>
    <col min="9" max="9" width="14.6640625" style="669" bestFit="1" customWidth="1"/>
    <col min="10" max="10" width="16.6640625" style="669" bestFit="1" customWidth="1"/>
    <col min="11" max="11" width="22.5" style="669" bestFit="1" customWidth="1"/>
    <col min="12" max="12" width="17.1640625" style="669" bestFit="1" customWidth="1"/>
    <col min="13" max="13" width="16.83203125" style="669" bestFit="1" customWidth="1"/>
    <col min="14" max="14" width="18.6640625" style="669" bestFit="1" customWidth="1"/>
    <col min="15" max="15" width="11.1640625" style="669" bestFit="1" customWidth="1"/>
    <col min="16" max="16" width="22.33203125" style="669" bestFit="1" customWidth="1"/>
    <col min="17" max="17" width="17.33203125" style="669" bestFit="1" customWidth="1"/>
    <col min="18" max="19" width="18.83203125" style="669" bestFit="1" customWidth="1"/>
    <col min="20" max="20" width="10.33203125" style="669" bestFit="1" customWidth="1"/>
    <col min="21" max="21" width="24.6640625" style="669" bestFit="1" customWidth="1"/>
    <col min="22" max="22" width="18.83203125" style="669" bestFit="1" customWidth="1"/>
    <col min="23" max="23" width="15.33203125" style="669" bestFit="1" customWidth="1"/>
    <col min="24" max="24" width="14.33203125" style="669" bestFit="1" customWidth="1"/>
    <col min="25" max="25" width="11.1640625" style="669" bestFit="1" customWidth="1"/>
    <col min="26" max="26" width="24.6640625" style="669" bestFit="1" customWidth="1"/>
    <col min="27" max="27" width="17.83203125" style="669" bestFit="1" customWidth="1"/>
    <col min="28" max="28" width="15.33203125" style="669" bestFit="1" customWidth="1"/>
    <col min="29" max="29" width="14.33203125" style="669" bestFit="1" customWidth="1"/>
    <col min="30" max="30" width="10.33203125" style="669" bestFit="1" customWidth="1"/>
    <col min="31" max="31" width="24.6640625" style="669" bestFit="1" customWidth="1"/>
    <col min="32" max="32" width="17.5" style="669" bestFit="1" customWidth="1"/>
    <col min="33" max="33" width="15.33203125" style="669" bestFit="1" customWidth="1"/>
    <col min="34" max="34" width="14.33203125" style="669" bestFit="1" customWidth="1"/>
    <col min="35" max="35" width="10.1640625" style="669" bestFit="1" customWidth="1"/>
    <col min="36" max="36" width="21.5" style="669" bestFit="1" customWidth="1"/>
    <col min="37" max="37" width="15.33203125" style="669" bestFit="1" customWidth="1"/>
    <col min="38" max="39" width="14.6640625" style="669" bestFit="1" customWidth="1"/>
    <col min="40" max="40" width="8.5" style="669" bestFit="1" customWidth="1"/>
    <col min="41" max="41" width="21.5" style="669" bestFit="1" customWidth="1"/>
    <col min="42" max="42" width="14.83203125" style="669" bestFit="1" customWidth="1"/>
    <col min="43" max="44" width="13.6640625" style="669" bestFit="1" customWidth="1"/>
    <col min="45" max="45" width="9.1640625" style="669"/>
    <col min="46" max="46" width="21.5" style="669" bestFit="1" customWidth="1"/>
    <col min="47" max="47" width="12.1640625" style="669" bestFit="1" customWidth="1"/>
    <col min="48" max="48" width="14.6640625" style="669" bestFit="1" customWidth="1"/>
    <col min="49" max="49" width="13.6640625" style="669" bestFit="1" customWidth="1"/>
    <col min="50" max="50" width="8.5" style="669" bestFit="1" customWidth="1"/>
    <col min="51" max="51" width="21.5" style="669" bestFit="1" customWidth="1"/>
    <col min="52" max="52" width="17" style="669" bestFit="1" customWidth="1"/>
    <col min="53" max="54" width="14.6640625" style="669" bestFit="1" customWidth="1"/>
    <col min="55" max="55" width="10.1640625" style="669" bestFit="1" customWidth="1"/>
    <col min="56" max="56" width="21.5" style="669" bestFit="1" customWidth="1"/>
    <col min="57" max="57" width="16.5" style="669" bestFit="1" customWidth="1"/>
    <col min="58" max="59" width="13.6640625" style="669" bestFit="1" customWidth="1"/>
    <col min="60" max="60" width="9.1640625" style="669"/>
    <col min="61" max="61" width="21.5" style="669" bestFit="1" customWidth="1"/>
    <col min="62" max="62" width="13.33203125" style="669" bestFit="1" customWidth="1"/>
    <col min="63" max="63" width="14.1640625" style="669" bestFit="1" customWidth="1"/>
    <col min="64" max="64" width="13.6640625" style="669" bestFit="1" customWidth="1"/>
    <col min="65" max="65" width="9.1640625" style="669" bestFit="1" customWidth="1"/>
    <col min="66" max="66" width="21.5" style="669" bestFit="1" customWidth="1"/>
    <col min="67" max="67" width="17" style="669" bestFit="1" customWidth="1"/>
    <col min="68" max="68" width="15.1640625" style="669" bestFit="1" customWidth="1"/>
    <col min="69" max="69" width="14.6640625" style="669" bestFit="1" customWidth="1"/>
    <col min="70" max="70" width="9.1640625" style="669"/>
    <col min="71" max="71" width="21.5" style="669" bestFit="1" customWidth="1"/>
    <col min="72" max="72" width="16.5" style="669" bestFit="1" customWidth="1"/>
    <col min="73" max="74" width="13.6640625" style="669" bestFit="1" customWidth="1"/>
    <col min="75" max="16384" width="9.1640625" style="669"/>
  </cols>
  <sheetData>
    <row r="2" spans="1:74" ht="16" thickBot="1">
      <c r="A2" s="667" t="s">
        <v>745</v>
      </c>
      <c r="B2" s="668"/>
      <c r="C2" s="668"/>
      <c r="D2" s="975"/>
      <c r="E2" s="668"/>
      <c r="F2" s="667" t="s">
        <v>745</v>
      </c>
      <c r="G2" s="668"/>
      <c r="H2" s="668"/>
      <c r="I2" s="668"/>
      <c r="J2" s="668"/>
      <c r="K2" s="667" t="s">
        <v>745</v>
      </c>
      <c r="L2" s="668"/>
      <c r="M2" s="668"/>
      <c r="N2" s="668"/>
      <c r="O2" s="668"/>
      <c r="P2" s="667" t="s">
        <v>745</v>
      </c>
      <c r="Q2" s="668"/>
      <c r="R2" s="668"/>
      <c r="S2" s="668"/>
      <c r="U2" s="667" t="s">
        <v>745</v>
      </c>
      <c r="V2" s="668"/>
      <c r="W2" s="668"/>
      <c r="X2" s="668"/>
      <c r="Z2" s="667" t="s">
        <v>745</v>
      </c>
      <c r="AA2" s="668"/>
      <c r="AB2" s="668"/>
      <c r="AC2" s="668"/>
      <c r="AE2" s="667" t="s">
        <v>745</v>
      </c>
      <c r="AF2" s="668"/>
      <c r="AG2" s="668"/>
      <c r="AH2" s="668"/>
      <c r="AJ2" s="667" t="s">
        <v>745</v>
      </c>
      <c r="AK2" s="668"/>
      <c r="AL2" s="668"/>
      <c r="AM2" s="668"/>
      <c r="AO2" s="667" t="s">
        <v>745</v>
      </c>
      <c r="AP2" s="668"/>
      <c r="AQ2" s="668"/>
      <c r="AR2" s="668"/>
      <c r="AT2" s="667" t="s">
        <v>745</v>
      </c>
      <c r="AU2" s="668"/>
      <c r="AV2" s="668"/>
      <c r="AW2" s="668"/>
      <c r="AY2" s="667" t="s">
        <v>745</v>
      </c>
      <c r="AZ2" s="668"/>
      <c r="BA2" s="668"/>
      <c r="BB2" s="668"/>
      <c r="BD2" s="667" t="s">
        <v>745</v>
      </c>
      <c r="BE2" s="668"/>
      <c r="BF2" s="668"/>
      <c r="BG2" s="668"/>
      <c r="BI2" s="667" t="s">
        <v>745</v>
      </c>
      <c r="BJ2" s="668"/>
      <c r="BK2" s="668"/>
      <c r="BL2" s="668"/>
      <c r="BN2" s="667" t="s">
        <v>745</v>
      </c>
      <c r="BO2" s="668"/>
      <c r="BP2" s="668"/>
      <c r="BQ2" s="668"/>
      <c r="BS2" s="667" t="s">
        <v>745</v>
      </c>
      <c r="BT2" s="668"/>
      <c r="BU2" s="668"/>
      <c r="BV2" s="668"/>
    </row>
    <row r="3" spans="1:74" ht="34.5" customHeight="1" thickBot="1">
      <c r="A3" s="670" t="str">
        <f>'BKFC Inputs'!C18</f>
        <v>2026 BKFC - ROOT</v>
      </c>
      <c r="B3" s="671">
        <f>'BKFC Inputs'!C19</f>
        <v>46357</v>
      </c>
      <c r="C3" s="672" t="s">
        <v>747</v>
      </c>
      <c r="D3" s="668"/>
      <c r="E3" s="668"/>
      <c r="F3" s="673" t="str">
        <f>'BKFC Inputs'!C31</f>
        <v>2026 BKFC - Forge</v>
      </c>
      <c r="G3" s="671">
        <f>'BKFC Inputs'!C32</f>
        <v>46419</v>
      </c>
      <c r="H3" s="672" t="s">
        <v>868</v>
      </c>
      <c r="I3" s="668"/>
      <c r="J3" s="668"/>
      <c r="K3" s="673" t="str">
        <f>'BKFC Inputs'!C44</f>
        <v>2026 BKFC - Ascend</v>
      </c>
      <c r="L3" s="671">
        <f>'BKFC Inputs'!C45</f>
        <v>46478</v>
      </c>
      <c r="M3" s="672" t="s">
        <v>869</v>
      </c>
      <c r="N3" s="668"/>
      <c r="O3" s="668"/>
      <c r="P3" s="673" t="str">
        <f>'BKFC Inputs'!C57</f>
        <v>2027 BKFC - ROOT</v>
      </c>
      <c r="Q3" s="671">
        <f>'BKFC Inputs'!C58</f>
        <v>46539</v>
      </c>
      <c r="R3" s="672" t="s">
        <v>747</v>
      </c>
      <c r="S3" s="668"/>
      <c r="U3" s="673" t="str">
        <f>'BKFC Inputs'!C70</f>
        <v>2027 BKFC - Forge</v>
      </c>
      <c r="V3" s="671">
        <f>'BKFC Inputs'!C71</f>
        <v>46631</v>
      </c>
      <c r="W3" s="672" t="s">
        <v>747</v>
      </c>
      <c r="X3" s="668"/>
      <c r="Z3" s="673" t="str">
        <f>'BKFC Inputs'!C83</f>
        <v>2027 BKFC - Ascend</v>
      </c>
      <c r="AA3" s="671">
        <f>'BKFC Inputs'!C84</f>
        <v>46722</v>
      </c>
      <c r="AB3" s="672" t="s">
        <v>747</v>
      </c>
      <c r="AC3" s="668"/>
      <c r="AE3" s="673" t="str">
        <f>'BKFC Inputs'!C96</f>
        <v>2028 BKFC - ROOT</v>
      </c>
      <c r="AF3" s="671">
        <f>'BKFC Inputs'!C97</f>
        <v>46905</v>
      </c>
      <c r="AG3" s="672" t="s">
        <v>747</v>
      </c>
      <c r="AH3" s="668"/>
      <c r="AJ3" s="673" t="str">
        <f>'BKFC Inputs'!C109</f>
        <v>2028 BKFC - Forge</v>
      </c>
      <c r="AK3" s="671">
        <f>'BKFC Inputs'!C110</f>
        <v>46997</v>
      </c>
      <c r="AL3" s="672" t="s">
        <v>747</v>
      </c>
      <c r="AM3" s="668"/>
      <c r="AO3" s="673" t="str">
        <f>'BKFC Inputs'!C122</f>
        <v>2028 BKFC - Ascend</v>
      </c>
      <c r="AP3" s="671">
        <f>'BKFC Inputs'!C123</f>
        <v>47088</v>
      </c>
      <c r="AQ3" s="672" t="s">
        <v>747</v>
      </c>
      <c r="AR3" s="668"/>
      <c r="AT3" s="673" t="str">
        <f>'BKFC Inputs'!C135</f>
        <v>2029 BKFC - ROOT</v>
      </c>
      <c r="AU3" s="671">
        <f>'BKFC Inputs'!C136</f>
        <v>47270</v>
      </c>
      <c r="AV3" s="672" t="s">
        <v>747</v>
      </c>
      <c r="AW3" s="668"/>
      <c r="AY3" s="673" t="str">
        <f>'BKFC Inputs'!C148</f>
        <v>2029 BKFC - Forge</v>
      </c>
      <c r="AZ3" s="671">
        <f>'BKFC Inputs'!C149</f>
        <v>47362</v>
      </c>
      <c r="BA3" s="672" t="s">
        <v>747</v>
      </c>
      <c r="BB3" s="668"/>
      <c r="BD3" s="673" t="str">
        <f>'BKFC Inputs'!C161</f>
        <v>2029 BKFC - Ascend</v>
      </c>
      <c r="BE3" s="671">
        <f>'BKFC Inputs'!C162</f>
        <v>47453</v>
      </c>
      <c r="BF3" s="672" t="s">
        <v>747</v>
      </c>
      <c r="BG3" s="668"/>
      <c r="BI3" s="673" t="str">
        <f>'BKFC Inputs'!C174</f>
        <v>2030 BKFC - ROOT</v>
      </c>
      <c r="BJ3" s="671">
        <f>'BKFC Inputs'!C175</f>
        <v>47635</v>
      </c>
      <c r="BK3" s="672" t="s">
        <v>747</v>
      </c>
      <c r="BL3" s="668"/>
      <c r="BN3" s="673" t="str">
        <f>'BKFC Inputs'!C187</f>
        <v>2030 BKFC - Forge</v>
      </c>
      <c r="BO3" s="671">
        <f>'BKFC Inputs'!C188</f>
        <v>47727</v>
      </c>
      <c r="BP3" s="672" t="s">
        <v>747</v>
      </c>
      <c r="BQ3" s="668"/>
      <c r="BS3" s="673" t="str">
        <f>'BKFC Inputs'!C200</f>
        <v>2030 BKFC - Ascend</v>
      </c>
      <c r="BT3" s="671">
        <f>'BKFC Inputs'!C201</f>
        <v>47818</v>
      </c>
      <c r="BU3" s="672" t="s">
        <v>747</v>
      </c>
      <c r="BV3" s="668"/>
    </row>
    <row r="4" spans="1:74" ht="16" thickBot="1">
      <c r="A4" s="668"/>
      <c r="B4" s="668"/>
      <c r="C4" s="674" t="s">
        <v>754</v>
      </c>
      <c r="D4" s="675" t="s">
        <v>755</v>
      </c>
      <c r="E4" s="668"/>
      <c r="F4" s="668"/>
      <c r="G4" s="668"/>
      <c r="H4" s="674" t="s">
        <v>754</v>
      </c>
      <c r="I4" s="675" t="s">
        <v>755</v>
      </c>
      <c r="J4" s="668"/>
      <c r="K4" s="668"/>
      <c r="L4" s="668"/>
      <c r="M4" s="674" t="s">
        <v>754</v>
      </c>
      <c r="N4" s="675" t="s">
        <v>755</v>
      </c>
      <c r="O4" s="668"/>
      <c r="P4" s="668"/>
      <c r="Q4" s="668"/>
      <c r="R4" s="674" t="s">
        <v>754</v>
      </c>
      <c r="S4" s="675" t="s">
        <v>755</v>
      </c>
      <c r="T4" s="543"/>
      <c r="U4" s="668"/>
      <c r="V4" s="668"/>
      <c r="W4" s="674" t="s">
        <v>754</v>
      </c>
      <c r="X4" s="675" t="s">
        <v>755</v>
      </c>
      <c r="Z4" s="668"/>
      <c r="AA4" s="668"/>
      <c r="AB4" s="674" t="s">
        <v>754</v>
      </c>
      <c r="AC4" s="675" t="s">
        <v>755</v>
      </c>
      <c r="AE4" s="668"/>
      <c r="AF4" s="668"/>
      <c r="AG4" s="674" t="s">
        <v>754</v>
      </c>
      <c r="AH4" s="675" t="s">
        <v>755</v>
      </c>
      <c r="AJ4" s="668"/>
      <c r="AK4" s="668"/>
      <c r="AL4" s="674" t="s">
        <v>754</v>
      </c>
      <c r="AM4" s="675" t="s">
        <v>755</v>
      </c>
      <c r="AO4" s="668"/>
      <c r="AP4" s="668"/>
      <c r="AQ4" s="674" t="s">
        <v>754</v>
      </c>
      <c r="AR4" s="675" t="s">
        <v>755</v>
      </c>
      <c r="AT4" s="668"/>
      <c r="AU4" s="668"/>
      <c r="AV4" s="674" t="s">
        <v>754</v>
      </c>
      <c r="AW4" s="675" t="s">
        <v>755</v>
      </c>
      <c r="AY4" s="668"/>
      <c r="AZ4" s="668"/>
      <c r="BA4" s="674" t="s">
        <v>754</v>
      </c>
      <c r="BB4" s="675" t="s">
        <v>755</v>
      </c>
      <c r="BD4" s="668"/>
      <c r="BE4" s="668"/>
      <c r="BF4" s="674" t="s">
        <v>754</v>
      </c>
      <c r="BG4" s="675" t="s">
        <v>755</v>
      </c>
      <c r="BI4" s="668"/>
      <c r="BJ4" s="668"/>
      <c r="BK4" s="674" t="s">
        <v>754</v>
      </c>
      <c r="BL4" s="675" t="s">
        <v>755</v>
      </c>
      <c r="BN4" s="668"/>
      <c r="BO4" s="668"/>
      <c r="BP4" s="674" t="s">
        <v>754</v>
      </c>
      <c r="BQ4" s="675" t="s">
        <v>755</v>
      </c>
      <c r="BS4" s="668"/>
      <c r="BT4" s="668"/>
      <c r="BU4" s="674" t="s">
        <v>754</v>
      </c>
      <c r="BV4" s="675" t="s">
        <v>755</v>
      </c>
    </row>
    <row r="5" spans="1:74" s="677" customFormat="1" ht="32" customHeight="1">
      <c r="A5" s="676" t="s">
        <v>756</v>
      </c>
      <c r="B5" s="1172" t="s">
        <v>18</v>
      </c>
      <c r="C5" s="1176">
        <f>'BKFC Inputs'!E23</f>
        <v>119.99</v>
      </c>
      <c r="D5" s="1178">
        <f>C5*B8</f>
        <v>1439.8799999999999</v>
      </c>
      <c r="E5" s="1179"/>
      <c r="F5" s="676" t="s">
        <v>756</v>
      </c>
      <c r="G5" s="1172" t="s">
        <v>18</v>
      </c>
      <c r="H5" s="1176">
        <f>'BKFC Inputs'!E36</f>
        <v>249.99</v>
      </c>
      <c r="I5" s="1178">
        <f>H5*G8</f>
        <v>2999.88</v>
      </c>
      <c r="J5" s="1179"/>
      <c r="K5" s="676" t="s">
        <v>756</v>
      </c>
      <c r="L5" s="1172" t="s">
        <v>18</v>
      </c>
      <c r="M5" s="1176">
        <f>'BKFC Inputs'!E49</f>
        <v>499.99</v>
      </c>
      <c r="N5" s="1178">
        <f>M5*L8</f>
        <v>1999.96</v>
      </c>
      <c r="O5" s="1180"/>
      <c r="P5" s="676" t="s">
        <v>756</v>
      </c>
      <c r="Q5" s="1172" t="s">
        <v>18</v>
      </c>
      <c r="R5" s="1176">
        <f>'BKFC Inputs'!E62</f>
        <v>129.99</v>
      </c>
      <c r="S5" s="1178">
        <f>R5*Q8</f>
        <v>1559.88</v>
      </c>
      <c r="T5" s="545"/>
      <c r="U5" s="676" t="s">
        <v>756</v>
      </c>
      <c r="V5" s="1172" t="s">
        <v>18</v>
      </c>
      <c r="W5" s="1176">
        <f>'BKFC Inputs'!E75</f>
        <v>249.99</v>
      </c>
      <c r="X5" s="1178">
        <f>W5*V8</f>
        <v>2999.88</v>
      </c>
      <c r="Z5" s="676" t="s">
        <v>756</v>
      </c>
      <c r="AA5" s="1172" t="s">
        <v>18</v>
      </c>
      <c r="AB5" s="1176">
        <f>'BKFC Inputs'!E88</f>
        <v>499.99</v>
      </c>
      <c r="AC5" s="1178">
        <f>AB5*AA8</f>
        <v>1999.96</v>
      </c>
      <c r="AE5" s="676" t="s">
        <v>756</v>
      </c>
      <c r="AF5" s="1172" t="s">
        <v>18</v>
      </c>
      <c r="AG5" s="1176">
        <f>'BKFC Inputs'!E101</f>
        <v>139.99</v>
      </c>
      <c r="AH5" s="1178">
        <f>AG5*AF8</f>
        <v>1679.88</v>
      </c>
      <c r="AJ5" s="676" t="s">
        <v>756</v>
      </c>
      <c r="AK5" s="1172" t="s">
        <v>18</v>
      </c>
      <c r="AL5" s="1176">
        <f>'BKFC Inputs'!E114</f>
        <v>249.99</v>
      </c>
      <c r="AM5" s="1178">
        <f>AL5*AK8</f>
        <v>2999.88</v>
      </c>
      <c r="AO5" s="676" t="s">
        <v>756</v>
      </c>
      <c r="AP5" s="1172" t="s">
        <v>18</v>
      </c>
      <c r="AQ5" s="1176">
        <f>'BKFC Inputs'!E127</f>
        <v>499.99</v>
      </c>
      <c r="AR5" s="1178">
        <f>AQ5*AP8</f>
        <v>1999.96</v>
      </c>
      <c r="AT5" s="676" t="s">
        <v>756</v>
      </c>
      <c r="AU5" s="1172" t="s">
        <v>18</v>
      </c>
      <c r="AV5" s="1176">
        <f>'BKFC Inputs'!E140</f>
        <v>139.99</v>
      </c>
      <c r="AW5" s="1178">
        <f>AV5*AU8</f>
        <v>1679.88</v>
      </c>
      <c r="AY5" s="676" t="s">
        <v>756</v>
      </c>
      <c r="AZ5" s="1172" t="s">
        <v>18</v>
      </c>
      <c r="BA5" s="1176">
        <f>'BKFC Inputs'!E153</f>
        <v>249.99</v>
      </c>
      <c r="BB5" s="1178">
        <f>BA5*AZ8</f>
        <v>2999.88</v>
      </c>
      <c r="BD5" s="676" t="s">
        <v>756</v>
      </c>
      <c r="BE5" s="1172" t="s">
        <v>18</v>
      </c>
      <c r="BF5" s="1176">
        <f>'BKFC Inputs'!E166</f>
        <v>499.99</v>
      </c>
      <c r="BG5" s="1178">
        <f>BF5*BE8</f>
        <v>1999.96</v>
      </c>
      <c r="BI5" s="676" t="s">
        <v>756</v>
      </c>
      <c r="BJ5" s="1172" t="s">
        <v>18</v>
      </c>
      <c r="BK5" s="1176">
        <f>'BKFC Inputs'!E179</f>
        <v>139.99</v>
      </c>
      <c r="BL5" s="1178">
        <f>BK5*BJ8</f>
        <v>1679.88</v>
      </c>
      <c r="BN5" s="676" t="s">
        <v>756</v>
      </c>
      <c r="BO5" s="1172" t="s">
        <v>18</v>
      </c>
      <c r="BP5" s="1176">
        <f>'BKFC Inputs'!E192</f>
        <v>249.99</v>
      </c>
      <c r="BQ5" s="1178">
        <f>BP5*BO8</f>
        <v>2999.88</v>
      </c>
      <c r="BS5" s="676" t="s">
        <v>756</v>
      </c>
      <c r="BT5" s="1172" t="s">
        <v>18</v>
      </c>
      <c r="BU5" s="1176">
        <f>'BKFC Inputs'!E205</f>
        <v>499.99</v>
      </c>
      <c r="BV5" s="1178">
        <f>BU5*BT8</f>
        <v>1999.96</v>
      </c>
    </row>
    <row r="6" spans="1:74" s="677" customFormat="1" ht="16" thickBot="1">
      <c r="A6" s="678" t="s">
        <v>757</v>
      </c>
      <c r="B6" s="1173"/>
      <c r="C6" s="1177"/>
      <c r="D6" s="1175"/>
      <c r="E6" s="1179"/>
      <c r="F6" s="678" t="s">
        <v>757</v>
      </c>
      <c r="G6" s="1173"/>
      <c r="H6" s="1177"/>
      <c r="I6" s="1175"/>
      <c r="J6" s="1179"/>
      <c r="K6" s="678" t="s">
        <v>757</v>
      </c>
      <c r="L6" s="1173"/>
      <c r="M6" s="1177"/>
      <c r="N6" s="1175"/>
      <c r="O6" s="1180"/>
      <c r="P6" s="678" t="s">
        <v>757</v>
      </c>
      <c r="Q6" s="1173"/>
      <c r="R6" s="1177"/>
      <c r="S6" s="1175"/>
      <c r="T6" s="545"/>
      <c r="U6" s="678" t="s">
        <v>757</v>
      </c>
      <c r="V6" s="1173"/>
      <c r="W6" s="1177"/>
      <c r="X6" s="1175"/>
      <c r="Z6" s="678" t="s">
        <v>757</v>
      </c>
      <c r="AA6" s="1173"/>
      <c r="AB6" s="1177"/>
      <c r="AC6" s="1175"/>
      <c r="AE6" s="678" t="s">
        <v>757</v>
      </c>
      <c r="AF6" s="1173"/>
      <c r="AG6" s="1177"/>
      <c r="AH6" s="1175"/>
      <c r="AJ6" s="678" t="s">
        <v>757</v>
      </c>
      <c r="AK6" s="1173"/>
      <c r="AL6" s="1177"/>
      <c r="AM6" s="1175"/>
      <c r="AO6" s="678" t="s">
        <v>757</v>
      </c>
      <c r="AP6" s="1173"/>
      <c r="AQ6" s="1177"/>
      <c r="AR6" s="1175"/>
      <c r="AT6" s="678" t="s">
        <v>757</v>
      </c>
      <c r="AU6" s="1173"/>
      <c r="AV6" s="1177"/>
      <c r="AW6" s="1175"/>
      <c r="AY6" s="678" t="s">
        <v>757</v>
      </c>
      <c r="AZ6" s="1173"/>
      <c r="BA6" s="1177"/>
      <c r="BB6" s="1175"/>
      <c r="BD6" s="678" t="s">
        <v>757</v>
      </c>
      <c r="BE6" s="1173"/>
      <c r="BF6" s="1177"/>
      <c r="BG6" s="1175"/>
      <c r="BI6" s="678" t="s">
        <v>757</v>
      </c>
      <c r="BJ6" s="1173"/>
      <c r="BK6" s="1177"/>
      <c r="BL6" s="1175"/>
      <c r="BN6" s="678" t="s">
        <v>757</v>
      </c>
      <c r="BO6" s="1173"/>
      <c r="BP6" s="1177"/>
      <c r="BQ6" s="1175"/>
      <c r="BS6" s="678" t="s">
        <v>757</v>
      </c>
      <c r="BT6" s="1173"/>
      <c r="BU6" s="1177"/>
      <c r="BV6" s="1175"/>
    </row>
    <row r="7" spans="1:74" ht="16" thickBot="1">
      <c r="A7" s="679" t="s">
        <v>758</v>
      </c>
      <c r="B7" s="680">
        <f>'BKFC Inputs'!G23</f>
        <v>2500</v>
      </c>
      <c r="C7" s="681"/>
      <c r="D7" s="681"/>
      <c r="E7" s="668"/>
      <c r="F7" s="679" t="s">
        <v>758</v>
      </c>
      <c r="G7" s="680">
        <f>'BKFC Inputs'!G36</f>
        <v>4000</v>
      </c>
      <c r="H7" s="681"/>
      <c r="I7" s="681"/>
      <c r="J7" s="668"/>
      <c r="K7" s="679" t="s">
        <v>758</v>
      </c>
      <c r="L7" s="680">
        <f>'BKFC Inputs'!G49</f>
        <v>500</v>
      </c>
      <c r="M7" s="681"/>
      <c r="N7" s="681"/>
      <c r="O7" s="668"/>
      <c r="P7" s="679" t="s">
        <v>758</v>
      </c>
      <c r="Q7" s="680">
        <f>'BKFC Inputs'!G62</f>
        <v>3000</v>
      </c>
      <c r="R7" s="681"/>
      <c r="S7" s="681"/>
      <c r="T7" s="551"/>
      <c r="U7" s="679" t="s">
        <v>758</v>
      </c>
      <c r="V7" s="680">
        <f>'BKFC Inputs'!G75</f>
        <v>5500</v>
      </c>
      <c r="W7" s="681"/>
      <c r="X7" s="681"/>
      <c r="Z7" s="679" t="s">
        <v>758</v>
      </c>
      <c r="AA7" s="680">
        <f>'BKFC Inputs'!G88</f>
        <v>500</v>
      </c>
      <c r="AB7" s="681"/>
      <c r="AC7" s="681"/>
      <c r="AE7" s="679" t="s">
        <v>758</v>
      </c>
      <c r="AF7" s="680">
        <f>'BKFC Inputs'!G101</f>
        <v>4000</v>
      </c>
      <c r="AG7" s="681"/>
      <c r="AH7" s="681"/>
      <c r="AJ7" s="679" t="s">
        <v>758</v>
      </c>
      <c r="AK7" s="680">
        <f>'BKFC Inputs'!G114</f>
        <v>7000</v>
      </c>
      <c r="AL7" s="681"/>
      <c r="AM7" s="681"/>
      <c r="AO7" s="679" t="s">
        <v>758</v>
      </c>
      <c r="AP7" s="680">
        <f>'BKFC Inputs'!G127</f>
        <v>700</v>
      </c>
      <c r="AQ7" s="681"/>
      <c r="AR7" s="681"/>
      <c r="AT7" s="679" t="s">
        <v>758</v>
      </c>
      <c r="AU7" s="680">
        <f>'BKFC Inputs'!G140</f>
        <v>5000</v>
      </c>
      <c r="AV7" s="681"/>
      <c r="AW7" s="681"/>
      <c r="AY7" s="679" t="s">
        <v>758</v>
      </c>
      <c r="AZ7" s="680">
        <f>'BKFC Inputs'!G153</f>
        <v>8000</v>
      </c>
      <c r="BA7" s="681"/>
      <c r="BB7" s="681"/>
      <c r="BD7" s="679" t="s">
        <v>758</v>
      </c>
      <c r="BE7" s="680">
        <f>'BKFC Inputs'!G166</f>
        <v>1000</v>
      </c>
      <c r="BF7" s="681"/>
      <c r="BG7" s="681"/>
      <c r="BI7" s="679" t="s">
        <v>758</v>
      </c>
      <c r="BJ7" s="680">
        <f>'BKFC Inputs'!G179</f>
        <v>6000</v>
      </c>
      <c r="BK7" s="681"/>
      <c r="BL7" s="681"/>
      <c r="BN7" s="679" t="s">
        <v>758</v>
      </c>
      <c r="BO7" s="680">
        <f>'BKFC Inputs'!G192</f>
        <v>10000</v>
      </c>
      <c r="BP7" s="681"/>
      <c r="BQ7" s="681"/>
      <c r="BS7" s="679" t="s">
        <v>758</v>
      </c>
      <c r="BT7" s="680">
        <f>'BKFC Inputs'!G205</f>
        <v>1250</v>
      </c>
      <c r="BU7" s="681"/>
      <c r="BV7" s="681"/>
    </row>
    <row r="8" spans="1:74" ht="17" thickBot="1">
      <c r="A8" s="682" t="s">
        <v>188</v>
      </c>
      <c r="B8" s="681">
        <f>'BKFC Inputs'!I23</f>
        <v>12</v>
      </c>
      <c r="C8" s="681"/>
      <c r="D8" s="683"/>
      <c r="E8" s="668"/>
      <c r="F8" s="682" t="s">
        <v>188</v>
      </c>
      <c r="G8" s="681">
        <f>'BKFC Inputs'!I36</f>
        <v>12</v>
      </c>
      <c r="H8" s="681"/>
      <c r="I8" s="683"/>
      <c r="J8" s="668"/>
      <c r="K8" s="682" t="s">
        <v>188</v>
      </c>
      <c r="L8" s="681">
        <f>'BKFC Inputs'!I49</f>
        <v>4</v>
      </c>
      <c r="M8" s="681"/>
      <c r="N8" s="683"/>
      <c r="O8" s="668"/>
      <c r="P8" s="682" t="s">
        <v>188</v>
      </c>
      <c r="Q8" s="681">
        <f>'BKFC Inputs'!I62</f>
        <v>12</v>
      </c>
      <c r="R8" s="681"/>
      <c r="S8" s="683"/>
      <c r="T8" s="551"/>
      <c r="U8" s="682" t="s">
        <v>188</v>
      </c>
      <c r="V8" s="681">
        <f>'BKFC Inputs'!I75</f>
        <v>12</v>
      </c>
      <c r="W8" s="681"/>
      <c r="X8" s="683"/>
      <c r="Z8" s="682" t="s">
        <v>188</v>
      </c>
      <c r="AA8" s="681">
        <f>'BKFC Inputs'!I88</f>
        <v>4</v>
      </c>
      <c r="AB8" s="681"/>
      <c r="AC8" s="683"/>
      <c r="AE8" s="682" t="s">
        <v>188</v>
      </c>
      <c r="AF8" s="681">
        <f>'BKFC Inputs'!I101</f>
        <v>12</v>
      </c>
      <c r="AG8" s="681"/>
      <c r="AH8" s="683"/>
      <c r="AJ8" s="682" t="s">
        <v>188</v>
      </c>
      <c r="AK8" s="681">
        <f>'BKFC Inputs'!I114</f>
        <v>12</v>
      </c>
      <c r="AL8" s="681"/>
      <c r="AM8" s="683"/>
      <c r="AO8" s="682" t="s">
        <v>188</v>
      </c>
      <c r="AP8" s="681">
        <f>'BKFC Inputs'!I127</f>
        <v>4</v>
      </c>
      <c r="AQ8" s="681"/>
      <c r="AR8" s="683"/>
      <c r="AT8" s="682" t="s">
        <v>188</v>
      </c>
      <c r="AU8" s="681">
        <f>'BKFC Inputs'!I140</f>
        <v>12</v>
      </c>
      <c r="AV8" s="681"/>
      <c r="AW8" s="683"/>
      <c r="AY8" s="682" t="s">
        <v>188</v>
      </c>
      <c r="AZ8" s="681">
        <f>'BKFC Inputs'!I153</f>
        <v>12</v>
      </c>
      <c r="BA8" s="681"/>
      <c r="BB8" s="683"/>
      <c r="BD8" s="682" t="s">
        <v>188</v>
      </c>
      <c r="BE8" s="681">
        <f>'BKFC Inputs'!I166</f>
        <v>4</v>
      </c>
      <c r="BF8" s="681"/>
      <c r="BG8" s="683"/>
      <c r="BI8" s="682" t="s">
        <v>188</v>
      </c>
      <c r="BJ8" s="681">
        <f>'BKFC Inputs'!I179</f>
        <v>12</v>
      </c>
      <c r="BK8" s="681"/>
      <c r="BL8" s="683"/>
      <c r="BN8" s="682" t="s">
        <v>188</v>
      </c>
      <c r="BO8" s="681">
        <f>'BKFC Inputs'!I192</f>
        <v>12</v>
      </c>
      <c r="BP8" s="681"/>
      <c r="BQ8" s="683"/>
      <c r="BS8" s="682" t="s">
        <v>188</v>
      </c>
      <c r="BT8" s="681">
        <f>'BKFC Inputs'!I205</f>
        <v>4</v>
      </c>
      <c r="BU8" s="681"/>
      <c r="BV8" s="683"/>
    </row>
    <row r="9" spans="1:74" ht="16" thickBot="1">
      <c r="A9" s="679" t="s">
        <v>759</v>
      </c>
      <c r="B9" s="680">
        <f>B7*B8</f>
        <v>30000</v>
      </c>
      <c r="C9" s="684"/>
      <c r="D9" s="685"/>
      <c r="E9" s="668"/>
      <c r="F9" s="679" t="s">
        <v>759</v>
      </c>
      <c r="G9" s="680">
        <f>G7*G8</f>
        <v>48000</v>
      </c>
      <c r="H9" s="684"/>
      <c r="I9" s="685"/>
      <c r="J9" s="668"/>
      <c r="K9" s="679" t="s">
        <v>759</v>
      </c>
      <c r="L9" s="680">
        <f>L7*L8</f>
        <v>2000</v>
      </c>
      <c r="M9" s="684"/>
      <c r="N9" s="685"/>
      <c r="O9" s="668"/>
      <c r="P9" s="679" t="s">
        <v>759</v>
      </c>
      <c r="Q9" s="680">
        <f>Q7*Q8</f>
        <v>36000</v>
      </c>
      <c r="R9" s="684"/>
      <c r="S9" s="685">
        <v>3599760</v>
      </c>
      <c r="T9" s="556"/>
      <c r="U9" s="679" t="s">
        <v>759</v>
      </c>
      <c r="V9" s="680">
        <f>V7*V8</f>
        <v>66000</v>
      </c>
      <c r="W9" s="684"/>
      <c r="X9" s="685"/>
      <c r="Z9" s="679" t="s">
        <v>759</v>
      </c>
      <c r="AA9" s="680">
        <f>AA7*AA8</f>
        <v>2000</v>
      </c>
      <c r="AB9" s="684"/>
      <c r="AC9" s="685"/>
      <c r="AE9" s="679" t="s">
        <v>759</v>
      </c>
      <c r="AF9" s="680">
        <f>AF7*AF8</f>
        <v>48000</v>
      </c>
      <c r="AG9" s="684"/>
      <c r="AH9" s="685"/>
      <c r="AJ9" s="679" t="s">
        <v>759</v>
      </c>
      <c r="AK9" s="680">
        <f>AK7*AK8</f>
        <v>84000</v>
      </c>
      <c r="AL9" s="684"/>
      <c r="AM9" s="685"/>
      <c r="AO9" s="679" t="s">
        <v>759</v>
      </c>
      <c r="AP9" s="680">
        <f>AP7*AP8</f>
        <v>2800</v>
      </c>
      <c r="AQ9" s="684"/>
      <c r="AR9" s="685"/>
      <c r="AT9" s="679" t="s">
        <v>759</v>
      </c>
      <c r="AU9" s="680">
        <f>AU7*AU8</f>
        <v>60000</v>
      </c>
      <c r="AV9" s="684"/>
      <c r="AW9" s="685"/>
      <c r="AY9" s="679" t="s">
        <v>759</v>
      </c>
      <c r="AZ9" s="680">
        <f>AZ7*AZ8</f>
        <v>96000</v>
      </c>
      <c r="BA9" s="684"/>
      <c r="BB9" s="685"/>
      <c r="BD9" s="679" t="s">
        <v>759</v>
      </c>
      <c r="BE9" s="680">
        <f>BE7*BE8</f>
        <v>4000</v>
      </c>
      <c r="BF9" s="684"/>
      <c r="BG9" s="685"/>
      <c r="BI9" s="679" t="s">
        <v>759</v>
      </c>
      <c r="BJ9" s="680">
        <f>BJ7*BJ8</f>
        <v>72000</v>
      </c>
      <c r="BK9" s="684"/>
      <c r="BL9" s="685"/>
      <c r="BN9" s="679" t="s">
        <v>759</v>
      </c>
      <c r="BO9" s="680">
        <f>BO7*BO8</f>
        <v>120000</v>
      </c>
      <c r="BP9" s="684"/>
      <c r="BQ9" s="685"/>
      <c r="BS9" s="679" t="s">
        <v>759</v>
      </c>
      <c r="BT9" s="680">
        <f>BT7*BT8</f>
        <v>5000</v>
      </c>
      <c r="BU9" s="684"/>
      <c r="BV9" s="685"/>
    </row>
    <row r="10" spans="1:74" ht="16" thickBot="1">
      <c r="A10" s="679" t="s">
        <v>192</v>
      </c>
      <c r="B10" s="681">
        <f>'BKFC Inputs'!K23</f>
        <v>24</v>
      </c>
      <c r="C10" s="684"/>
      <c r="D10" s="686"/>
      <c r="E10" s="668"/>
      <c r="F10" s="679" t="s">
        <v>192</v>
      </c>
      <c r="G10" s="681">
        <f>'BKFC Inputs'!K36</f>
        <v>12</v>
      </c>
      <c r="H10" s="684"/>
      <c r="I10" s="686"/>
      <c r="J10" s="668"/>
      <c r="K10" s="679" t="s">
        <v>192</v>
      </c>
      <c r="L10" s="681">
        <f>'BKFC Inputs'!K49</f>
        <v>1</v>
      </c>
      <c r="M10" s="684"/>
      <c r="N10" s="686"/>
      <c r="O10" s="668"/>
      <c r="P10" s="679" t="s">
        <v>192</v>
      </c>
      <c r="Q10" s="681">
        <f>'BKFC Inputs'!K62</f>
        <v>24</v>
      </c>
      <c r="R10" s="684"/>
      <c r="S10" s="686" t="s">
        <v>760</v>
      </c>
      <c r="T10" s="558"/>
      <c r="U10" s="679" t="s">
        <v>192</v>
      </c>
      <c r="V10" s="681">
        <f>'BKFC Inputs'!K75</f>
        <v>12</v>
      </c>
      <c r="W10" s="684"/>
      <c r="X10" s="686"/>
      <c r="Z10" s="679" t="s">
        <v>192</v>
      </c>
      <c r="AA10" s="681">
        <f>'BKFC Inputs'!K88</f>
        <v>1</v>
      </c>
      <c r="AB10" s="684"/>
      <c r="AC10" s="686"/>
      <c r="AE10" s="679" t="s">
        <v>192</v>
      </c>
      <c r="AF10" s="681">
        <f>'BKFC Inputs'!K101</f>
        <v>24</v>
      </c>
      <c r="AG10" s="684"/>
      <c r="AH10" s="686"/>
      <c r="AJ10" s="679" t="s">
        <v>192</v>
      </c>
      <c r="AK10" s="681">
        <f>'BKFC Inputs'!K114</f>
        <v>12</v>
      </c>
      <c r="AL10" s="684"/>
      <c r="AM10" s="686"/>
      <c r="AO10" s="679" t="s">
        <v>192</v>
      </c>
      <c r="AP10" s="681">
        <f>'BKFC Inputs'!K127</f>
        <v>1</v>
      </c>
      <c r="AQ10" s="684"/>
      <c r="AR10" s="686"/>
      <c r="AT10" s="679" t="s">
        <v>192</v>
      </c>
      <c r="AU10" s="681">
        <f>'BKFC Inputs'!K140</f>
        <v>24</v>
      </c>
      <c r="AV10" s="684"/>
      <c r="AW10" s="686"/>
      <c r="AY10" s="679" t="s">
        <v>192</v>
      </c>
      <c r="AZ10" s="681">
        <f>'BKFC Inputs'!K153</f>
        <v>12</v>
      </c>
      <c r="BA10" s="684"/>
      <c r="BB10" s="686"/>
      <c r="BD10" s="679" t="s">
        <v>192</v>
      </c>
      <c r="BE10" s="681">
        <f>'BKFC Inputs'!K166</f>
        <v>1</v>
      </c>
      <c r="BF10" s="684"/>
      <c r="BG10" s="686"/>
      <c r="BI10" s="679" t="s">
        <v>192</v>
      </c>
      <c r="BJ10" s="681">
        <f>'BKFC Inputs'!K179</f>
        <v>24</v>
      </c>
      <c r="BK10" s="684"/>
      <c r="BL10" s="686"/>
      <c r="BN10" s="679" t="s">
        <v>192</v>
      </c>
      <c r="BO10" s="681">
        <f>'BKFC Inputs'!K192</f>
        <v>12</v>
      </c>
      <c r="BP10" s="684"/>
      <c r="BQ10" s="686"/>
      <c r="BS10" s="679" t="s">
        <v>192</v>
      </c>
      <c r="BT10" s="681">
        <f>'BKFC Inputs'!K205</f>
        <v>1</v>
      </c>
      <c r="BU10" s="684"/>
      <c r="BV10" s="686"/>
    </row>
    <row r="11" spans="1:74" ht="16" thickBot="1">
      <c r="A11" s="687" t="s">
        <v>195</v>
      </c>
      <c r="B11" s="681">
        <f>'BKFC Inputs'!M23</f>
        <v>10</v>
      </c>
      <c r="C11" s="681"/>
      <c r="D11" s="681"/>
      <c r="E11" s="668"/>
      <c r="F11" s="687" t="s">
        <v>195</v>
      </c>
      <c r="G11" s="681">
        <f>'BKFC Inputs'!M36</f>
        <v>12</v>
      </c>
      <c r="H11" s="681"/>
      <c r="I11" s="681"/>
      <c r="J11" s="668"/>
      <c r="K11" s="687" t="s">
        <v>195</v>
      </c>
      <c r="L11" s="681">
        <f>'BKFC Inputs'!M49</f>
        <v>10</v>
      </c>
      <c r="M11" s="681"/>
      <c r="N11" s="681"/>
      <c r="O11" s="668"/>
      <c r="P11" s="687" t="s">
        <v>195</v>
      </c>
      <c r="Q11" s="681">
        <f>'BKFC Inputs'!M62</f>
        <v>10</v>
      </c>
      <c r="R11" s="681"/>
      <c r="S11" s="681"/>
      <c r="T11" s="558"/>
      <c r="U11" s="687" t="s">
        <v>195</v>
      </c>
      <c r="V11" s="681">
        <f>'BKFC Inputs'!M75</f>
        <v>12</v>
      </c>
      <c r="W11" s="681"/>
      <c r="X11" s="681"/>
      <c r="Z11" s="687" t="s">
        <v>195</v>
      </c>
      <c r="AA11" s="681">
        <f>'BKFC Inputs'!M88</f>
        <v>10</v>
      </c>
      <c r="AB11" s="681"/>
      <c r="AC11" s="681"/>
      <c r="AE11" s="687" t="s">
        <v>195</v>
      </c>
      <c r="AF11" s="681">
        <f>'BKFC Inputs'!M101</f>
        <v>10</v>
      </c>
      <c r="AG11" s="681"/>
      <c r="AH11" s="681"/>
      <c r="AJ11" s="687" t="s">
        <v>195</v>
      </c>
      <c r="AK11" s="681">
        <f>'BKFC Inputs'!M114</f>
        <v>12</v>
      </c>
      <c r="AL11" s="681"/>
      <c r="AM11" s="681"/>
      <c r="AO11" s="687" t="s">
        <v>195</v>
      </c>
      <c r="AP11" s="681">
        <f>'BKFC Inputs'!M127</f>
        <v>10</v>
      </c>
      <c r="AQ11" s="681"/>
      <c r="AR11" s="681"/>
      <c r="AT11" s="687" t="s">
        <v>195</v>
      </c>
      <c r="AU11" s="681">
        <f>'BKFC Inputs'!M140</f>
        <v>10</v>
      </c>
      <c r="AV11" s="681"/>
      <c r="AW11" s="681"/>
      <c r="AY11" s="687" t="s">
        <v>195</v>
      </c>
      <c r="AZ11" s="681">
        <f>'BKFC Inputs'!M153</f>
        <v>12</v>
      </c>
      <c r="BA11" s="681"/>
      <c r="BB11" s="681"/>
      <c r="BD11" s="687" t="s">
        <v>195</v>
      </c>
      <c r="BE11" s="681">
        <f>'BKFC Inputs'!M166</f>
        <v>10</v>
      </c>
      <c r="BF11" s="681"/>
      <c r="BG11" s="681"/>
      <c r="BI11" s="687" t="s">
        <v>195</v>
      </c>
      <c r="BJ11" s="681">
        <f>'BKFC Inputs'!M179</f>
        <v>10</v>
      </c>
      <c r="BK11" s="681"/>
      <c r="BL11" s="681"/>
      <c r="BN11" s="687" t="s">
        <v>195</v>
      </c>
      <c r="BO11" s="681">
        <f>'BKFC Inputs'!M192</f>
        <v>12</v>
      </c>
      <c r="BP11" s="681"/>
      <c r="BQ11" s="681"/>
      <c r="BS11" s="687" t="s">
        <v>195</v>
      </c>
      <c r="BT11" s="681">
        <f>'BKFC Inputs'!M205</f>
        <v>10</v>
      </c>
      <c r="BU11" s="681"/>
      <c r="BV11" s="681"/>
    </row>
    <row r="12" spans="1:74" ht="16" thickBot="1">
      <c r="A12" s="679" t="s">
        <v>761</v>
      </c>
      <c r="B12" s="680">
        <f>B9*B10</f>
        <v>720000</v>
      </c>
      <c r="C12" s="681"/>
      <c r="D12" s="681"/>
      <c r="E12" s="668"/>
      <c r="F12" s="679" t="s">
        <v>761</v>
      </c>
      <c r="G12" s="680">
        <f>G9*G10</f>
        <v>576000</v>
      </c>
      <c r="H12" s="681"/>
      <c r="I12" s="681"/>
      <c r="J12" s="668"/>
      <c r="K12" s="679" t="s">
        <v>761</v>
      </c>
      <c r="L12" s="680">
        <f>L9*L10</f>
        <v>2000</v>
      </c>
      <c r="M12" s="681"/>
      <c r="N12" s="681"/>
      <c r="O12" s="668"/>
      <c r="P12" s="679" t="s">
        <v>761</v>
      </c>
      <c r="Q12" s="680">
        <f>Q9*Q10</f>
        <v>864000</v>
      </c>
      <c r="R12" s="681"/>
      <c r="S12" s="681"/>
      <c r="T12" s="551"/>
      <c r="U12" s="679" t="s">
        <v>761</v>
      </c>
      <c r="V12" s="680">
        <f>V9*V10</f>
        <v>792000</v>
      </c>
      <c r="W12" s="681"/>
      <c r="X12" s="681"/>
      <c r="Z12" s="679" t="s">
        <v>761</v>
      </c>
      <c r="AA12" s="680">
        <f>AA9*AA10</f>
        <v>2000</v>
      </c>
      <c r="AB12" s="681"/>
      <c r="AC12" s="681"/>
      <c r="AE12" s="679" t="s">
        <v>761</v>
      </c>
      <c r="AF12" s="680">
        <f>AF9*AF10</f>
        <v>1152000</v>
      </c>
      <c r="AG12" s="681"/>
      <c r="AH12" s="681"/>
      <c r="AJ12" s="679" t="s">
        <v>761</v>
      </c>
      <c r="AK12" s="680">
        <f>AK9*AK10</f>
        <v>1008000</v>
      </c>
      <c r="AL12" s="681"/>
      <c r="AM12" s="681"/>
      <c r="AO12" s="679" t="s">
        <v>761</v>
      </c>
      <c r="AP12" s="680">
        <f>AP9*AP10</f>
        <v>2800</v>
      </c>
      <c r="AQ12" s="681"/>
      <c r="AR12" s="681"/>
      <c r="AT12" s="679" t="s">
        <v>761</v>
      </c>
      <c r="AU12" s="680">
        <f>AU9*AU10</f>
        <v>1440000</v>
      </c>
      <c r="AV12" s="681"/>
      <c r="AW12" s="681"/>
      <c r="AY12" s="679" t="s">
        <v>761</v>
      </c>
      <c r="AZ12" s="680">
        <f>AZ9*AZ10</f>
        <v>1152000</v>
      </c>
      <c r="BA12" s="681"/>
      <c r="BB12" s="681"/>
      <c r="BD12" s="679" t="s">
        <v>761</v>
      </c>
      <c r="BE12" s="680">
        <f>BE9*BE10</f>
        <v>4000</v>
      </c>
      <c r="BF12" s="681"/>
      <c r="BG12" s="681"/>
      <c r="BI12" s="679" t="s">
        <v>761</v>
      </c>
      <c r="BJ12" s="680">
        <f>BJ9*BJ10</f>
        <v>1728000</v>
      </c>
      <c r="BK12" s="681"/>
      <c r="BL12" s="681"/>
      <c r="BN12" s="679" t="s">
        <v>761</v>
      </c>
      <c r="BO12" s="680">
        <f>BO9*BO10</f>
        <v>1440000</v>
      </c>
      <c r="BP12" s="681"/>
      <c r="BQ12" s="681"/>
      <c r="BS12" s="679" t="s">
        <v>761</v>
      </c>
      <c r="BT12" s="680">
        <f>BT9*BT10</f>
        <v>5000</v>
      </c>
      <c r="BU12" s="681"/>
      <c r="BV12" s="681"/>
    </row>
    <row r="13" spans="1:74" ht="16" thickBot="1">
      <c r="A13" s="679" t="s">
        <v>762</v>
      </c>
      <c r="B13" s="680">
        <f>B12*B11</f>
        <v>7200000</v>
      </c>
      <c r="C13" s="681"/>
      <c r="D13" s="681"/>
      <c r="E13" s="668"/>
      <c r="F13" s="679" t="s">
        <v>762</v>
      </c>
      <c r="G13" s="680">
        <f>G12*G11</f>
        <v>6912000</v>
      </c>
      <c r="H13" s="681"/>
      <c r="I13" s="681"/>
      <c r="J13" s="668"/>
      <c r="K13" s="679" t="s">
        <v>762</v>
      </c>
      <c r="L13" s="680">
        <f>L12*L11</f>
        <v>20000</v>
      </c>
      <c r="M13" s="681"/>
      <c r="N13" s="681"/>
      <c r="O13" s="668"/>
      <c r="P13" s="679" t="s">
        <v>762</v>
      </c>
      <c r="Q13" s="680">
        <f>Q12*Q11</f>
        <v>8640000</v>
      </c>
      <c r="R13" s="681"/>
      <c r="S13" s="681"/>
      <c r="T13" s="560"/>
      <c r="U13" s="679" t="s">
        <v>762</v>
      </c>
      <c r="V13" s="680">
        <f>V12*V11</f>
        <v>9504000</v>
      </c>
      <c r="W13" s="681"/>
      <c r="X13" s="681"/>
      <c r="Z13" s="679" t="s">
        <v>762</v>
      </c>
      <c r="AA13" s="680">
        <f>AA12*AA11</f>
        <v>20000</v>
      </c>
      <c r="AB13" s="681"/>
      <c r="AC13" s="681"/>
      <c r="AE13" s="679" t="s">
        <v>762</v>
      </c>
      <c r="AF13" s="680">
        <f>AF12*AF11</f>
        <v>11520000</v>
      </c>
      <c r="AG13" s="681"/>
      <c r="AH13" s="681"/>
      <c r="AJ13" s="679" t="s">
        <v>762</v>
      </c>
      <c r="AK13" s="680">
        <f>AK12*AK11</f>
        <v>12096000</v>
      </c>
      <c r="AL13" s="681"/>
      <c r="AM13" s="681"/>
      <c r="AO13" s="679" t="s">
        <v>762</v>
      </c>
      <c r="AP13" s="680">
        <f>AP12*AP11</f>
        <v>28000</v>
      </c>
      <c r="AQ13" s="681"/>
      <c r="AR13" s="681"/>
      <c r="AT13" s="679" t="s">
        <v>762</v>
      </c>
      <c r="AU13" s="680">
        <f>AU12*AU11</f>
        <v>14400000</v>
      </c>
      <c r="AV13" s="681"/>
      <c r="AW13" s="681"/>
      <c r="AY13" s="679" t="s">
        <v>762</v>
      </c>
      <c r="AZ13" s="680">
        <f>AZ12*AZ11</f>
        <v>13824000</v>
      </c>
      <c r="BA13" s="681"/>
      <c r="BB13" s="681"/>
      <c r="BD13" s="679" t="s">
        <v>762</v>
      </c>
      <c r="BE13" s="680">
        <f>BE12*BE11</f>
        <v>40000</v>
      </c>
      <c r="BF13" s="681"/>
      <c r="BG13" s="681"/>
      <c r="BI13" s="679" t="s">
        <v>762</v>
      </c>
      <c r="BJ13" s="680">
        <f>BJ12*BJ11</f>
        <v>17280000</v>
      </c>
      <c r="BK13" s="681"/>
      <c r="BL13" s="681"/>
      <c r="BN13" s="679" t="s">
        <v>762</v>
      </c>
      <c r="BO13" s="680">
        <f>BO12*BO11</f>
        <v>17280000</v>
      </c>
      <c r="BP13" s="681"/>
      <c r="BQ13" s="681"/>
      <c r="BS13" s="679" t="s">
        <v>762</v>
      </c>
      <c r="BT13" s="680">
        <f>BT12*BT11</f>
        <v>50000</v>
      </c>
      <c r="BU13" s="681"/>
      <c r="BV13" s="681"/>
    </row>
    <row r="14" spans="1:74" ht="16" thickBot="1">
      <c r="A14" s="679" t="s">
        <v>763</v>
      </c>
      <c r="B14" s="688">
        <f>C18/B13</f>
        <v>0.29997569444444444</v>
      </c>
      <c r="C14" s="681"/>
      <c r="D14" s="689"/>
      <c r="E14" s="668"/>
      <c r="F14" s="679" t="s">
        <v>763</v>
      </c>
      <c r="G14" s="688">
        <f>H18/G13</f>
        <v>1.0416261574074075</v>
      </c>
      <c r="H14" s="681"/>
      <c r="I14" s="689"/>
      <c r="J14" s="668"/>
      <c r="K14" s="679" t="s">
        <v>763</v>
      </c>
      <c r="L14" s="688">
        <f>M18/L13</f>
        <v>29.999500000000001</v>
      </c>
      <c r="M14" s="681"/>
      <c r="N14" s="689"/>
      <c r="O14" s="668"/>
      <c r="P14" s="679" t="s">
        <v>763</v>
      </c>
      <c r="Q14" s="688">
        <f>R18/Q13</f>
        <v>0.32497569444444446</v>
      </c>
      <c r="R14" s="681"/>
      <c r="S14" s="689">
        <v>2.08</v>
      </c>
      <c r="T14" s="551"/>
      <c r="U14" s="679" t="s">
        <v>763</v>
      </c>
      <c r="V14" s="688">
        <f>W18/V13</f>
        <v>1.0416261574074075</v>
      </c>
      <c r="W14" s="681"/>
      <c r="X14" s="689"/>
      <c r="Z14" s="679" t="s">
        <v>763</v>
      </c>
      <c r="AA14" s="688">
        <f>AB18/AA13</f>
        <v>29.999500000000001</v>
      </c>
      <c r="AB14" s="681"/>
      <c r="AC14" s="689"/>
      <c r="AE14" s="679" t="s">
        <v>763</v>
      </c>
      <c r="AF14" s="688">
        <f>AG18/AF13</f>
        <v>0.34997569444444443</v>
      </c>
      <c r="AG14" s="681"/>
      <c r="AH14" s="689"/>
      <c r="AJ14" s="679" t="s">
        <v>763</v>
      </c>
      <c r="AK14" s="688">
        <f>AL18/AK13</f>
        <v>1.0416261574074075</v>
      </c>
      <c r="AL14" s="681"/>
      <c r="AM14" s="689"/>
      <c r="AO14" s="679" t="s">
        <v>763</v>
      </c>
      <c r="AP14" s="688">
        <f>AQ18/AP13</f>
        <v>29.999500000000001</v>
      </c>
      <c r="AQ14" s="681"/>
      <c r="AR14" s="689"/>
      <c r="AT14" s="679" t="s">
        <v>763</v>
      </c>
      <c r="AU14" s="688">
        <f>AV18/AU13</f>
        <v>0.34997569444444443</v>
      </c>
      <c r="AV14" s="681"/>
      <c r="AW14" s="689"/>
      <c r="AY14" s="679" t="s">
        <v>763</v>
      </c>
      <c r="AZ14" s="688">
        <f>BA18/AZ13</f>
        <v>1.0416261574074075</v>
      </c>
      <c r="BA14" s="681"/>
      <c r="BB14" s="689"/>
      <c r="BD14" s="679" t="s">
        <v>763</v>
      </c>
      <c r="BE14" s="688">
        <f>BF18/BE13</f>
        <v>29.999500000000001</v>
      </c>
      <c r="BF14" s="681"/>
      <c r="BG14" s="689"/>
      <c r="BI14" s="679" t="s">
        <v>763</v>
      </c>
      <c r="BJ14" s="688">
        <f>BK18/BJ13</f>
        <v>0.34997569444444443</v>
      </c>
      <c r="BK14" s="681"/>
      <c r="BL14" s="689"/>
      <c r="BN14" s="679" t="s">
        <v>763</v>
      </c>
      <c r="BO14" s="688">
        <f>BP18/BO13</f>
        <v>1.0416261574074075</v>
      </c>
      <c r="BP14" s="681"/>
      <c r="BQ14" s="689"/>
      <c r="BS14" s="679" t="s">
        <v>763</v>
      </c>
      <c r="BT14" s="688">
        <f>BU18/BT13</f>
        <v>29.999500000000001</v>
      </c>
      <c r="BU14" s="681"/>
      <c r="BV14" s="689"/>
    </row>
    <row r="15" spans="1:74" ht="16" thickBot="1">
      <c r="A15" s="690"/>
      <c r="B15" s="691" t="s">
        <v>250</v>
      </c>
      <c r="C15" s="691" t="s">
        <v>764</v>
      </c>
      <c r="D15" s="691" t="s">
        <v>18</v>
      </c>
      <c r="E15" s="668"/>
      <c r="F15" s="690"/>
      <c r="G15" s="691" t="s">
        <v>250</v>
      </c>
      <c r="H15" s="691" t="s">
        <v>764</v>
      </c>
      <c r="I15" s="691" t="s">
        <v>18</v>
      </c>
      <c r="J15" s="668"/>
      <c r="K15" s="690"/>
      <c r="L15" s="691" t="s">
        <v>250</v>
      </c>
      <c r="M15" s="691" t="s">
        <v>764</v>
      </c>
      <c r="N15" s="691" t="s">
        <v>18</v>
      </c>
      <c r="O15" s="668"/>
      <c r="P15" s="690"/>
      <c r="Q15" s="691" t="s">
        <v>250</v>
      </c>
      <c r="R15" s="691" t="s">
        <v>764</v>
      </c>
      <c r="S15" s="691" t="s">
        <v>18</v>
      </c>
      <c r="T15" s="551"/>
      <c r="U15" s="690"/>
      <c r="V15" s="691" t="s">
        <v>250</v>
      </c>
      <c r="W15" s="691" t="s">
        <v>764</v>
      </c>
      <c r="X15" s="691" t="s">
        <v>18</v>
      </c>
      <c r="Z15" s="690"/>
      <c r="AA15" s="691" t="s">
        <v>250</v>
      </c>
      <c r="AB15" s="691" t="s">
        <v>764</v>
      </c>
      <c r="AC15" s="691" t="s">
        <v>18</v>
      </c>
      <c r="AE15" s="690"/>
      <c r="AF15" s="691" t="s">
        <v>250</v>
      </c>
      <c r="AG15" s="691" t="s">
        <v>764</v>
      </c>
      <c r="AH15" s="691" t="s">
        <v>18</v>
      </c>
      <c r="AJ15" s="690"/>
      <c r="AK15" s="691" t="s">
        <v>250</v>
      </c>
      <c r="AL15" s="691" t="s">
        <v>764</v>
      </c>
      <c r="AM15" s="691" t="s">
        <v>18</v>
      </c>
      <c r="AO15" s="690"/>
      <c r="AP15" s="691" t="s">
        <v>250</v>
      </c>
      <c r="AQ15" s="691" t="s">
        <v>764</v>
      </c>
      <c r="AR15" s="691" t="s">
        <v>18</v>
      </c>
      <c r="AT15" s="690"/>
      <c r="AU15" s="691" t="s">
        <v>250</v>
      </c>
      <c r="AV15" s="691" t="s">
        <v>764</v>
      </c>
      <c r="AW15" s="691" t="s">
        <v>18</v>
      </c>
      <c r="AY15" s="690"/>
      <c r="AZ15" s="691" t="s">
        <v>250</v>
      </c>
      <c r="BA15" s="691" t="s">
        <v>764</v>
      </c>
      <c r="BB15" s="691" t="s">
        <v>18</v>
      </c>
      <c r="BD15" s="690"/>
      <c r="BE15" s="691" t="s">
        <v>250</v>
      </c>
      <c r="BF15" s="691" t="s">
        <v>764</v>
      </c>
      <c r="BG15" s="691" t="s">
        <v>18</v>
      </c>
      <c r="BI15" s="690"/>
      <c r="BJ15" s="691" t="s">
        <v>250</v>
      </c>
      <c r="BK15" s="691" t="s">
        <v>764</v>
      </c>
      <c r="BL15" s="691" t="s">
        <v>18</v>
      </c>
      <c r="BN15" s="690"/>
      <c r="BO15" s="691" t="s">
        <v>250</v>
      </c>
      <c r="BP15" s="691" t="s">
        <v>764</v>
      </c>
      <c r="BQ15" s="691" t="s">
        <v>18</v>
      </c>
      <c r="BS15" s="690"/>
      <c r="BT15" s="691" t="s">
        <v>250</v>
      </c>
      <c r="BU15" s="691" t="s">
        <v>764</v>
      </c>
      <c r="BV15" s="691" t="s">
        <v>18</v>
      </c>
    </row>
    <row r="16" spans="1:74" ht="16" thickBot="1">
      <c r="A16" s="692" t="s">
        <v>765</v>
      </c>
      <c r="B16" s="693">
        <f>ROUND(C16*$B$89,2)</f>
        <v>33.840000000000003</v>
      </c>
      <c r="C16" s="694">
        <f>ROUND(D16*'BKFC Inputs'!$G$10,2)</f>
        <v>71.989999999999995</v>
      </c>
      <c r="D16" s="694">
        <f>C5</f>
        <v>119.99</v>
      </c>
      <c r="E16" s="668"/>
      <c r="F16" s="692" t="s">
        <v>765</v>
      </c>
      <c r="G16" s="693">
        <f>ROUND(H16*$B$89,2)</f>
        <v>70.5</v>
      </c>
      <c r="H16" s="694">
        <f>ROUND(I16*'BKFC Inputs'!$G$10,2)</f>
        <v>149.99</v>
      </c>
      <c r="I16" s="694">
        <f>H5</f>
        <v>249.99</v>
      </c>
      <c r="J16" s="668"/>
      <c r="K16" s="692" t="s">
        <v>765</v>
      </c>
      <c r="L16" s="693">
        <f>ROUND(M16*$B$89,2)</f>
        <v>141</v>
      </c>
      <c r="M16" s="694">
        <f>ROUND(N16*'BKFC Inputs'!$G$10,2)</f>
        <v>299.99</v>
      </c>
      <c r="N16" s="694">
        <f>M5</f>
        <v>499.99</v>
      </c>
      <c r="O16" s="668"/>
      <c r="P16" s="692" t="s">
        <v>765</v>
      </c>
      <c r="Q16" s="693">
        <f>ROUND(R16*$B$89,2)</f>
        <v>36.659999999999997</v>
      </c>
      <c r="R16" s="694">
        <f>ROUND(S16*'BKFC Inputs'!$G$10,2)</f>
        <v>77.989999999999995</v>
      </c>
      <c r="S16" s="694">
        <f>R5</f>
        <v>129.99</v>
      </c>
      <c r="T16" s="551"/>
      <c r="U16" s="692" t="s">
        <v>765</v>
      </c>
      <c r="V16" s="693">
        <f>ROUND(W16*$B$89,2)</f>
        <v>70.5</v>
      </c>
      <c r="W16" s="694">
        <f>ROUND(X16*'BKFC Inputs'!$G$10,2)</f>
        <v>149.99</v>
      </c>
      <c r="X16" s="694">
        <f>W5</f>
        <v>249.99</v>
      </c>
      <c r="Z16" s="692" t="s">
        <v>765</v>
      </c>
      <c r="AA16" s="693">
        <f>ROUND(AB16*$B$89,2)</f>
        <v>141</v>
      </c>
      <c r="AB16" s="694">
        <f>ROUND(AC16*'BKFC Inputs'!$G$10,2)</f>
        <v>299.99</v>
      </c>
      <c r="AC16" s="694">
        <f>AB5</f>
        <v>499.99</v>
      </c>
      <c r="AE16" s="692" t="s">
        <v>765</v>
      </c>
      <c r="AF16" s="693">
        <f>ROUND(AG16*$B$89,2)</f>
        <v>39.479999999999997</v>
      </c>
      <c r="AG16" s="694">
        <f>ROUND(AH16*'BKFC Inputs'!$G$10,2)</f>
        <v>83.99</v>
      </c>
      <c r="AH16" s="694">
        <f>AG5</f>
        <v>139.99</v>
      </c>
      <c r="AJ16" s="692" t="s">
        <v>765</v>
      </c>
      <c r="AK16" s="693">
        <f>ROUND(AL16*$B$89,2)</f>
        <v>70.5</v>
      </c>
      <c r="AL16" s="694">
        <f>ROUND(AM16*'BKFC Inputs'!$G$10,2)</f>
        <v>149.99</v>
      </c>
      <c r="AM16" s="694">
        <f>AL5</f>
        <v>249.99</v>
      </c>
      <c r="AO16" s="692" t="s">
        <v>765</v>
      </c>
      <c r="AP16" s="693">
        <f>ROUND(AQ16*$B$89,2)</f>
        <v>141</v>
      </c>
      <c r="AQ16" s="694">
        <f>ROUND(AR16*'BKFC Inputs'!$G$10,2)</f>
        <v>299.99</v>
      </c>
      <c r="AR16" s="694">
        <f>AQ5</f>
        <v>499.99</v>
      </c>
      <c r="AT16" s="692" t="s">
        <v>765</v>
      </c>
      <c r="AU16" s="693">
        <f>ROUND(AV16*$B$89,2)</f>
        <v>39.479999999999997</v>
      </c>
      <c r="AV16" s="694">
        <f>ROUND(AW16*'BKFC Inputs'!$G$10,2)</f>
        <v>83.99</v>
      </c>
      <c r="AW16" s="694">
        <f>AV5</f>
        <v>139.99</v>
      </c>
      <c r="AY16" s="692" t="s">
        <v>765</v>
      </c>
      <c r="AZ16" s="693">
        <f>ROUND(BA16*$B$89,2)</f>
        <v>70.5</v>
      </c>
      <c r="BA16" s="694">
        <f>ROUND(BB16*'BKFC Inputs'!$G$10,2)</f>
        <v>149.99</v>
      </c>
      <c r="BB16" s="694">
        <f>BA5</f>
        <v>249.99</v>
      </c>
      <c r="BD16" s="692" t="s">
        <v>765</v>
      </c>
      <c r="BE16" s="693">
        <f>ROUND(BF16*$B$89,2)</f>
        <v>141</v>
      </c>
      <c r="BF16" s="694">
        <f>ROUND(BG16*'BKFC Inputs'!$G$10,2)</f>
        <v>299.99</v>
      </c>
      <c r="BG16" s="694">
        <f>BF5</f>
        <v>499.99</v>
      </c>
      <c r="BI16" s="692" t="s">
        <v>765</v>
      </c>
      <c r="BJ16" s="693">
        <f>ROUND(BK16*$B$89,2)</f>
        <v>39.479999999999997</v>
      </c>
      <c r="BK16" s="694">
        <f>ROUND(BL16*'BKFC Inputs'!$G$10,2)</f>
        <v>83.99</v>
      </c>
      <c r="BL16" s="694">
        <f>BK5</f>
        <v>139.99</v>
      </c>
      <c r="BN16" s="692" t="s">
        <v>765</v>
      </c>
      <c r="BO16" s="693">
        <f>ROUND(BP16*$B$89,2)</f>
        <v>70.5</v>
      </c>
      <c r="BP16" s="694">
        <f>ROUND(BQ16*'BKFC Inputs'!$G$10,2)</f>
        <v>149.99</v>
      </c>
      <c r="BQ16" s="694">
        <f>BP5</f>
        <v>249.99</v>
      </c>
      <c r="BS16" s="692" t="s">
        <v>765</v>
      </c>
      <c r="BT16" s="693">
        <f>ROUND(BU16*$B$89,2)</f>
        <v>141</v>
      </c>
      <c r="BU16" s="694">
        <f>ROUND(BV16*'BKFC Inputs'!$G$10,2)</f>
        <v>299.99</v>
      </c>
      <c r="BV16" s="694">
        <f>BU5</f>
        <v>499.99</v>
      </c>
    </row>
    <row r="17" spans="1:74" ht="16" thickBot="1">
      <c r="A17" s="692" t="s">
        <v>766</v>
      </c>
      <c r="B17" s="693">
        <f>ROUND(C17*$B$89,2)</f>
        <v>406.05</v>
      </c>
      <c r="C17" s="695">
        <f>ROUND(D17*'BKFC Inputs'!$G$10,2)</f>
        <v>863.93</v>
      </c>
      <c r="D17" s="695">
        <f>ROUND(D16*B8,2)</f>
        <v>1439.88</v>
      </c>
      <c r="E17" s="668"/>
      <c r="F17" s="692" t="s">
        <v>766</v>
      </c>
      <c r="G17" s="693">
        <f>ROUND(H17*$B$89,2)</f>
        <v>845.97</v>
      </c>
      <c r="H17" s="695">
        <f>ROUND(I17*'BKFC Inputs'!$G$10,2)</f>
        <v>1799.93</v>
      </c>
      <c r="I17" s="695">
        <f>ROUND(I16*G8,2)</f>
        <v>2999.88</v>
      </c>
      <c r="J17" s="668"/>
      <c r="K17" s="692" t="s">
        <v>766</v>
      </c>
      <c r="L17" s="693">
        <f>ROUND(M17*$B$89,2)</f>
        <v>563.99</v>
      </c>
      <c r="M17" s="695">
        <f>ROUND(N17*'BKFC Inputs'!$G$10,2)</f>
        <v>1199.98</v>
      </c>
      <c r="N17" s="695">
        <f>ROUND(N16*L8,2)</f>
        <v>1999.96</v>
      </c>
      <c r="O17" s="668"/>
      <c r="P17" s="692" t="s">
        <v>766</v>
      </c>
      <c r="Q17" s="693">
        <f>ROUND(R17*$B$89,2)</f>
        <v>439.89</v>
      </c>
      <c r="R17" s="695">
        <f>ROUND(S17*'BKFC Inputs'!$G$10,2)</f>
        <v>935.93</v>
      </c>
      <c r="S17" s="695">
        <f>ROUND(S16*Q8,2)</f>
        <v>1559.88</v>
      </c>
      <c r="T17" s="551"/>
      <c r="U17" s="692" t="s">
        <v>766</v>
      </c>
      <c r="V17" s="693">
        <f>ROUND(W17*$B$89,2)</f>
        <v>845.97</v>
      </c>
      <c r="W17" s="695">
        <f>ROUND(X17*'BKFC Inputs'!$G$10,2)</f>
        <v>1799.93</v>
      </c>
      <c r="X17" s="695">
        <f>ROUND(X16*V8,2)</f>
        <v>2999.88</v>
      </c>
      <c r="Z17" s="692" t="s">
        <v>766</v>
      </c>
      <c r="AA17" s="693">
        <f>ROUND(AB17*$B$89,2)</f>
        <v>563.99</v>
      </c>
      <c r="AB17" s="695">
        <f>ROUND(AC17*'BKFC Inputs'!$G$10,2)</f>
        <v>1199.98</v>
      </c>
      <c r="AC17" s="695">
        <f>ROUND(AC16*AA8,2)</f>
        <v>1999.96</v>
      </c>
      <c r="AE17" s="692" t="s">
        <v>766</v>
      </c>
      <c r="AF17" s="693">
        <f>ROUND(AG17*$B$89,2)</f>
        <v>473.73</v>
      </c>
      <c r="AG17" s="695">
        <f>ROUND(AH17*'BKFC Inputs'!$G$10,2)</f>
        <v>1007.93</v>
      </c>
      <c r="AH17" s="695">
        <f>ROUND(AH16*AF8,2)</f>
        <v>1679.88</v>
      </c>
      <c r="AJ17" s="692" t="s">
        <v>766</v>
      </c>
      <c r="AK17" s="693">
        <f>ROUND(AL17*$B$89,2)</f>
        <v>845.97</v>
      </c>
      <c r="AL17" s="695">
        <f>ROUND(AM17*'BKFC Inputs'!$G$10,2)</f>
        <v>1799.93</v>
      </c>
      <c r="AM17" s="695">
        <f>ROUND(AM16*AK8,2)</f>
        <v>2999.88</v>
      </c>
      <c r="AO17" s="692" t="s">
        <v>766</v>
      </c>
      <c r="AP17" s="693">
        <f>ROUND(AQ17*$B$89,2)</f>
        <v>563.99</v>
      </c>
      <c r="AQ17" s="695">
        <f>ROUND(AR17*'BKFC Inputs'!$G$10,2)</f>
        <v>1199.98</v>
      </c>
      <c r="AR17" s="695">
        <f>ROUND(AR16*AP8,2)</f>
        <v>1999.96</v>
      </c>
      <c r="AT17" s="692" t="s">
        <v>766</v>
      </c>
      <c r="AU17" s="693">
        <f>ROUND(AV17*$B$89,2)</f>
        <v>473.73</v>
      </c>
      <c r="AV17" s="695">
        <f>ROUND(AW17*'BKFC Inputs'!$G$10,2)</f>
        <v>1007.93</v>
      </c>
      <c r="AW17" s="695">
        <f>ROUND(AW16*AU8,2)</f>
        <v>1679.88</v>
      </c>
      <c r="AY17" s="692" t="s">
        <v>766</v>
      </c>
      <c r="AZ17" s="693">
        <f>ROUND(BA17*$B$89,2)</f>
        <v>845.97</v>
      </c>
      <c r="BA17" s="695">
        <f>ROUND(BB17*'BKFC Inputs'!$G$10,2)</f>
        <v>1799.93</v>
      </c>
      <c r="BB17" s="695">
        <f>ROUND(BB16*AZ8,2)</f>
        <v>2999.88</v>
      </c>
      <c r="BD17" s="692" t="s">
        <v>766</v>
      </c>
      <c r="BE17" s="693">
        <f>ROUND(BF17*$B$89,2)</f>
        <v>563.99</v>
      </c>
      <c r="BF17" s="695">
        <f>ROUND(BG17*'BKFC Inputs'!$G$10,2)</f>
        <v>1199.98</v>
      </c>
      <c r="BG17" s="695">
        <f>ROUND(BG16*BE8,2)</f>
        <v>1999.96</v>
      </c>
      <c r="BI17" s="692" t="s">
        <v>766</v>
      </c>
      <c r="BJ17" s="693">
        <f>ROUND(BK17*$B$89,2)</f>
        <v>473.73</v>
      </c>
      <c r="BK17" s="695">
        <f>ROUND(BL17*'BKFC Inputs'!$G$10,2)</f>
        <v>1007.93</v>
      </c>
      <c r="BL17" s="695">
        <f>ROUND(BL16*BJ8,2)</f>
        <v>1679.88</v>
      </c>
      <c r="BN17" s="692" t="s">
        <v>766</v>
      </c>
      <c r="BO17" s="693">
        <f>ROUND(BP17*$B$89,2)</f>
        <v>845.97</v>
      </c>
      <c r="BP17" s="695">
        <f>ROUND(BQ17*'BKFC Inputs'!$G$10,2)</f>
        <v>1799.93</v>
      </c>
      <c r="BQ17" s="695">
        <f>ROUND(BQ16*BO8,2)</f>
        <v>2999.88</v>
      </c>
      <c r="BS17" s="692" t="s">
        <v>766</v>
      </c>
      <c r="BT17" s="693">
        <f>ROUND(BU17*$B$89,2)</f>
        <v>563.99</v>
      </c>
      <c r="BU17" s="695">
        <f>ROUND(BV17*'BKFC Inputs'!$G$10,2)</f>
        <v>1199.98</v>
      </c>
      <c r="BV17" s="695">
        <f>ROUND(BV16*BT8,2)</f>
        <v>1999.96</v>
      </c>
    </row>
    <row r="18" spans="1:74" ht="16" thickBot="1">
      <c r="A18" s="692" t="s">
        <v>767</v>
      </c>
      <c r="B18" s="693">
        <f>ROUND(B17*$B$7,2)</f>
        <v>1015125</v>
      </c>
      <c r="C18" s="695">
        <f>ROUND(C17*B7,2)</f>
        <v>2159825</v>
      </c>
      <c r="D18" s="695">
        <f>ROUND(D17*B7,2)</f>
        <v>3599700</v>
      </c>
      <c r="E18" s="668"/>
      <c r="F18" s="692" t="s">
        <v>767</v>
      </c>
      <c r="G18" s="693">
        <f>ROUND(G17*$B$7,2)</f>
        <v>2114925</v>
      </c>
      <c r="H18" s="695">
        <f>ROUND(H17*G7,2)</f>
        <v>7199720</v>
      </c>
      <c r="I18" s="695">
        <f>ROUND(I17*G7,2)</f>
        <v>11999520</v>
      </c>
      <c r="J18" s="668"/>
      <c r="K18" s="692" t="s">
        <v>767</v>
      </c>
      <c r="L18" s="693">
        <f>ROUND(L17*$B$7,2)</f>
        <v>1409975</v>
      </c>
      <c r="M18" s="695">
        <f>ROUND(M17*L7,2)</f>
        <v>599990</v>
      </c>
      <c r="N18" s="695">
        <f>ROUND(N17*L7,2)</f>
        <v>999980</v>
      </c>
      <c r="O18" s="668"/>
      <c r="P18" s="692" t="s">
        <v>767</v>
      </c>
      <c r="Q18" s="693">
        <f>ROUND(Q17*$B$7,2)</f>
        <v>1099725</v>
      </c>
      <c r="R18" s="695">
        <f>ROUND(R17*Q7,2)</f>
        <v>2807790</v>
      </c>
      <c r="S18" s="695">
        <f>ROUND(S17*Q7,2)</f>
        <v>4679640</v>
      </c>
      <c r="T18" s="551"/>
      <c r="U18" s="692" t="s">
        <v>767</v>
      </c>
      <c r="V18" s="693">
        <f>ROUND(V17*$B$7,2)</f>
        <v>2114925</v>
      </c>
      <c r="W18" s="695">
        <f>ROUND(W17*V7,2)</f>
        <v>9899615</v>
      </c>
      <c r="X18" s="695">
        <f>ROUND(X17*V7,2)</f>
        <v>16499340</v>
      </c>
      <c r="Z18" s="692" t="s">
        <v>767</v>
      </c>
      <c r="AA18" s="693">
        <f>ROUND(AA17*$B$7,2)</f>
        <v>1409975</v>
      </c>
      <c r="AB18" s="695">
        <f>ROUND(AB17*AA7,2)</f>
        <v>599990</v>
      </c>
      <c r="AC18" s="695">
        <f>ROUND(AC17*AA7,2)</f>
        <v>999980</v>
      </c>
      <c r="AE18" s="692" t="s">
        <v>767</v>
      </c>
      <c r="AF18" s="693">
        <f>ROUND(AF17*$B$7,2)</f>
        <v>1184325</v>
      </c>
      <c r="AG18" s="695">
        <f>ROUND(AG17*AF7,2)</f>
        <v>4031720</v>
      </c>
      <c r="AH18" s="695">
        <f>ROUND(AH17*AF7,2)</f>
        <v>6719520</v>
      </c>
      <c r="AJ18" s="692" t="s">
        <v>767</v>
      </c>
      <c r="AK18" s="693">
        <f>ROUND(AK17*$B$7,2)</f>
        <v>2114925</v>
      </c>
      <c r="AL18" s="695">
        <f>ROUND(AL17*AK7,2)</f>
        <v>12599510</v>
      </c>
      <c r="AM18" s="695">
        <f>ROUND(AM17*AK7,2)</f>
        <v>20999160</v>
      </c>
      <c r="AO18" s="692" t="s">
        <v>767</v>
      </c>
      <c r="AP18" s="693">
        <f>ROUND(AP17*$B$7,2)</f>
        <v>1409975</v>
      </c>
      <c r="AQ18" s="695">
        <f>ROUND(AQ17*AP7,2)</f>
        <v>839986</v>
      </c>
      <c r="AR18" s="695">
        <f>ROUND(AR17*AP7,2)</f>
        <v>1399972</v>
      </c>
      <c r="AT18" s="692" t="s">
        <v>767</v>
      </c>
      <c r="AU18" s="693">
        <f>ROUND(AU17*$B$7,2)</f>
        <v>1184325</v>
      </c>
      <c r="AV18" s="695">
        <f>ROUND(AV17*AU7,2)</f>
        <v>5039650</v>
      </c>
      <c r="AW18" s="695">
        <f>ROUND(AW17*AU7,2)</f>
        <v>8399400</v>
      </c>
      <c r="AY18" s="692" t="s">
        <v>767</v>
      </c>
      <c r="AZ18" s="693">
        <f>ROUND(AZ17*$B$7,2)</f>
        <v>2114925</v>
      </c>
      <c r="BA18" s="695">
        <f>ROUND(BA17*AZ7,2)</f>
        <v>14399440</v>
      </c>
      <c r="BB18" s="695">
        <f>ROUND(BB17*AZ7,2)</f>
        <v>23999040</v>
      </c>
      <c r="BD18" s="692" t="s">
        <v>767</v>
      </c>
      <c r="BE18" s="693">
        <f>ROUND(BE17*$B$7,2)</f>
        <v>1409975</v>
      </c>
      <c r="BF18" s="695">
        <f>ROUND(BF17*BE7,2)</f>
        <v>1199980</v>
      </c>
      <c r="BG18" s="695">
        <f>ROUND(BG17*BE7,2)</f>
        <v>1999960</v>
      </c>
      <c r="BI18" s="692" t="s">
        <v>767</v>
      </c>
      <c r="BJ18" s="693">
        <f>ROUND(BJ17*$B$7,2)</f>
        <v>1184325</v>
      </c>
      <c r="BK18" s="695">
        <f>ROUND(BK17*BJ7,2)</f>
        <v>6047580</v>
      </c>
      <c r="BL18" s="695">
        <f>ROUND(BL17*BJ7,2)</f>
        <v>10079280</v>
      </c>
      <c r="BN18" s="692" t="s">
        <v>767</v>
      </c>
      <c r="BO18" s="693">
        <f>ROUND(BO17*$B$7,2)</f>
        <v>2114925</v>
      </c>
      <c r="BP18" s="695">
        <f>ROUND(BP17*BO7,2)</f>
        <v>17999300</v>
      </c>
      <c r="BQ18" s="695">
        <f>ROUND(BQ17*BO7,2)</f>
        <v>29998800</v>
      </c>
      <c r="BS18" s="692" t="s">
        <v>767</v>
      </c>
      <c r="BT18" s="693">
        <f>ROUND(BT17*$B$7,2)</f>
        <v>1409975</v>
      </c>
      <c r="BU18" s="695">
        <f>ROUND(BU17*BT7,2)</f>
        <v>1499975</v>
      </c>
      <c r="BV18" s="695">
        <f>ROUND(BV17*BT7,2)</f>
        <v>2499950</v>
      </c>
    </row>
    <row r="19" spans="1:74" ht="16" thickBot="1">
      <c r="A19" s="668"/>
      <c r="B19" s="668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551"/>
      <c r="U19" s="668"/>
      <c r="V19" s="668"/>
      <c r="W19" s="668"/>
      <c r="X19" s="668"/>
      <c r="Z19" s="668"/>
      <c r="AA19" s="668"/>
      <c r="AB19" s="668"/>
      <c r="AC19" s="668"/>
      <c r="AE19" s="668"/>
      <c r="AF19" s="668"/>
      <c r="AG19" s="668"/>
      <c r="AH19" s="668"/>
      <c r="AJ19" s="668"/>
      <c r="AK19" s="668"/>
      <c r="AL19" s="668"/>
      <c r="AM19" s="668"/>
      <c r="AO19" s="668"/>
      <c r="AP19" s="668"/>
      <c r="AQ19" s="668"/>
      <c r="AR19" s="668"/>
      <c r="AT19" s="668"/>
      <c r="AU19" s="668"/>
      <c r="AV19" s="668"/>
      <c r="AW19" s="668"/>
      <c r="AY19" s="668"/>
      <c r="AZ19" s="668"/>
      <c r="BA19" s="668"/>
      <c r="BB19" s="668"/>
      <c r="BD19" s="668"/>
      <c r="BE19" s="668"/>
      <c r="BF19" s="668"/>
      <c r="BG19" s="668"/>
      <c r="BI19" s="668"/>
      <c r="BJ19" s="668"/>
      <c r="BK19" s="668"/>
      <c r="BL19" s="668"/>
      <c r="BN19" s="668"/>
      <c r="BO19" s="668"/>
      <c r="BP19" s="668"/>
      <c r="BQ19" s="668"/>
      <c r="BS19" s="668"/>
      <c r="BT19" s="668"/>
      <c r="BU19" s="668"/>
      <c r="BV19" s="668"/>
    </row>
    <row r="20" spans="1:74" ht="16" thickBot="1">
      <c r="A20" s="668"/>
      <c r="B20" s="668"/>
      <c r="C20" s="674" t="s">
        <v>754</v>
      </c>
      <c r="D20" s="675" t="s">
        <v>755</v>
      </c>
      <c r="E20" s="668"/>
      <c r="F20" s="668"/>
      <c r="G20" s="668"/>
      <c r="H20" s="674" t="s">
        <v>754</v>
      </c>
      <c r="I20" s="675" t="s">
        <v>755</v>
      </c>
      <c r="J20" s="668"/>
      <c r="K20" s="668"/>
      <c r="L20" s="668"/>
      <c r="M20" s="674" t="s">
        <v>754</v>
      </c>
      <c r="N20" s="675" t="s">
        <v>755</v>
      </c>
      <c r="O20" s="668"/>
      <c r="P20" s="668"/>
      <c r="Q20" s="668"/>
      <c r="R20" s="674" t="s">
        <v>754</v>
      </c>
      <c r="S20" s="675" t="s">
        <v>755</v>
      </c>
      <c r="T20" s="551"/>
      <c r="U20" s="668"/>
      <c r="V20" s="668"/>
      <c r="W20" s="674" t="s">
        <v>754</v>
      </c>
      <c r="X20" s="675" t="s">
        <v>755</v>
      </c>
      <c r="Z20" s="668"/>
      <c r="AA20" s="668"/>
      <c r="AB20" s="674" t="s">
        <v>754</v>
      </c>
      <c r="AC20" s="675" t="s">
        <v>755</v>
      </c>
      <c r="AE20" s="668"/>
      <c r="AF20" s="668"/>
      <c r="AG20" s="674" t="s">
        <v>754</v>
      </c>
      <c r="AH20" s="675" t="s">
        <v>755</v>
      </c>
      <c r="AJ20" s="668"/>
      <c r="AK20" s="668"/>
      <c r="AL20" s="674" t="s">
        <v>754</v>
      </c>
      <c r="AM20" s="675" t="s">
        <v>755</v>
      </c>
      <c r="AO20" s="668"/>
      <c r="AP20" s="668"/>
      <c r="AQ20" s="674" t="s">
        <v>754</v>
      </c>
      <c r="AR20" s="675" t="s">
        <v>755</v>
      </c>
      <c r="AT20" s="668"/>
      <c r="AU20" s="668"/>
      <c r="AV20" s="674" t="s">
        <v>754</v>
      </c>
      <c r="AW20" s="675" t="s">
        <v>755</v>
      </c>
      <c r="AY20" s="668"/>
      <c r="AZ20" s="668"/>
      <c r="BA20" s="674" t="s">
        <v>754</v>
      </c>
      <c r="BB20" s="675" t="s">
        <v>755</v>
      </c>
      <c r="BD20" s="668"/>
      <c r="BE20" s="668"/>
      <c r="BF20" s="674" t="s">
        <v>754</v>
      </c>
      <c r="BG20" s="675" t="s">
        <v>755</v>
      </c>
      <c r="BI20" s="668"/>
      <c r="BJ20" s="668"/>
      <c r="BK20" s="674" t="s">
        <v>754</v>
      </c>
      <c r="BL20" s="675" t="s">
        <v>755</v>
      </c>
      <c r="BN20" s="668"/>
      <c r="BO20" s="668"/>
      <c r="BP20" s="674" t="s">
        <v>754</v>
      </c>
      <c r="BQ20" s="675" t="s">
        <v>755</v>
      </c>
      <c r="BS20" s="668"/>
      <c r="BT20" s="668"/>
      <c r="BU20" s="674" t="s">
        <v>754</v>
      </c>
      <c r="BV20" s="675" t="s">
        <v>755</v>
      </c>
    </row>
    <row r="21" spans="1:74" s="677" customFormat="1" ht="16">
      <c r="A21" s="676" t="s">
        <v>853</v>
      </c>
      <c r="B21" s="1172" t="s">
        <v>18</v>
      </c>
      <c r="C21" s="1176">
        <f>'BKFC Inputs'!E24</f>
        <v>0</v>
      </c>
      <c r="D21" s="1178">
        <f>C21*B24</f>
        <v>0</v>
      </c>
      <c r="E21" s="1179"/>
      <c r="F21" s="676" t="s">
        <v>853</v>
      </c>
      <c r="G21" s="1172" t="s">
        <v>18</v>
      </c>
      <c r="H21" s="1176">
        <f>'BKFC Inputs'!E37</f>
        <v>49.99</v>
      </c>
      <c r="I21" s="1178">
        <f>H21*G24</f>
        <v>999.80000000000007</v>
      </c>
      <c r="J21" s="1179"/>
      <c r="K21" s="676" t="s">
        <v>853</v>
      </c>
      <c r="L21" s="1172" t="s">
        <v>18</v>
      </c>
      <c r="M21" s="1176">
        <f>'BKFC Inputs'!E50</f>
        <v>0</v>
      </c>
      <c r="N21" s="1178">
        <f>M21*L24</f>
        <v>0</v>
      </c>
      <c r="O21" s="1180"/>
      <c r="P21" s="676" t="s">
        <v>853</v>
      </c>
      <c r="Q21" s="1172" t="s">
        <v>18</v>
      </c>
      <c r="R21" s="1176">
        <f>'BKFC Inputs'!E63</f>
        <v>0</v>
      </c>
      <c r="S21" s="1178">
        <f>R21*Q24</f>
        <v>0</v>
      </c>
      <c r="T21" s="569"/>
      <c r="U21" s="676" t="s">
        <v>853</v>
      </c>
      <c r="V21" s="1172" t="s">
        <v>18</v>
      </c>
      <c r="W21" s="1176">
        <f>'BKFC Inputs'!E76</f>
        <v>54.99</v>
      </c>
      <c r="X21" s="1178">
        <f>W21*V24</f>
        <v>1099.8</v>
      </c>
      <c r="Z21" s="676" t="s">
        <v>853</v>
      </c>
      <c r="AA21" s="1172" t="s">
        <v>18</v>
      </c>
      <c r="AB21" s="1176">
        <f>'BKFC Inputs'!E89</f>
        <v>0</v>
      </c>
      <c r="AC21" s="1178">
        <f>AB21*AA24</f>
        <v>0</v>
      </c>
      <c r="AE21" s="676" t="s">
        <v>853</v>
      </c>
      <c r="AF21" s="1172" t="s">
        <v>18</v>
      </c>
      <c r="AG21" s="1176">
        <f>'BKFC Inputs'!E102</f>
        <v>0</v>
      </c>
      <c r="AH21" s="1178">
        <f>AG21*AF24</f>
        <v>0</v>
      </c>
      <c r="AJ21" s="676" t="s">
        <v>853</v>
      </c>
      <c r="AK21" s="1172" t="s">
        <v>18</v>
      </c>
      <c r="AL21" s="1176">
        <f>'BKFC Inputs'!E115</f>
        <v>59.99</v>
      </c>
      <c r="AM21" s="1178">
        <f>AL21*AK24</f>
        <v>1199.8</v>
      </c>
      <c r="AO21" s="676" t="s">
        <v>853</v>
      </c>
      <c r="AP21" s="1172" t="s">
        <v>18</v>
      </c>
      <c r="AQ21" s="1176">
        <f>'BKFC Inputs'!E128</f>
        <v>0</v>
      </c>
      <c r="AR21" s="1178">
        <f>AQ21*AP24</f>
        <v>0</v>
      </c>
      <c r="AT21" s="676" t="s">
        <v>853</v>
      </c>
      <c r="AU21" s="1172" t="s">
        <v>18</v>
      </c>
      <c r="AV21" s="1176">
        <f>'BKFC Inputs'!E141</f>
        <v>0</v>
      </c>
      <c r="AW21" s="1178">
        <f>AV21*AU24</f>
        <v>0</v>
      </c>
      <c r="AY21" s="676" t="s">
        <v>853</v>
      </c>
      <c r="AZ21" s="1172" t="s">
        <v>18</v>
      </c>
      <c r="BA21" s="1176">
        <f>'BKFC Inputs'!E154</f>
        <v>59.99</v>
      </c>
      <c r="BB21" s="1178">
        <f>BA21*AZ24</f>
        <v>1199.8</v>
      </c>
      <c r="BD21" s="676" t="s">
        <v>853</v>
      </c>
      <c r="BE21" s="1172" t="s">
        <v>18</v>
      </c>
      <c r="BF21" s="1176">
        <f>'BKFC Inputs'!E167</f>
        <v>0</v>
      </c>
      <c r="BG21" s="1178">
        <f>BF21*BE24</f>
        <v>0</v>
      </c>
      <c r="BI21" s="676" t="s">
        <v>853</v>
      </c>
      <c r="BJ21" s="1172" t="s">
        <v>18</v>
      </c>
      <c r="BK21" s="1176">
        <f>'BKFC Inputs'!E180</f>
        <v>0</v>
      </c>
      <c r="BL21" s="1178">
        <f>BK21*BJ24</f>
        <v>0</v>
      </c>
      <c r="BN21" s="676" t="s">
        <v>853</v>
      </c>
      <c r="BO21" s="1172" t="s">
        <v>18</v>
      </c>
      <c r="BP21" s="1176">
        <f>'BKFC Inputs'!E193</f>
        <v>59.99</v>
      </c>
      <c r="BQ21" s="1178">
        <f>BP21*BO24</f>
        <v>1199.8</v>
      </c>
      <c r="BS21" s="676" t="s">
        <v>853</v>
      </c>
      <c r="BT21" s="1172" t="s">
        <v>18</v>
      </c>
      <c r="BU21" s="1176">
        <f>'BKFC Inputs'!E206</f>
        <v>0</v>
      </c>
      <c r="BV21" s="1178">
        <f>BU21*BT24</f>
        <v>0</v>
      </c>
    </row>
    <row r="22" spans="1:74" s="677" customFormat="1" ht="16" thickBot="1">
      <c r="A22" s="678" t="s">
        <v>854</v>
      </c>
      <c r="B22" s="1173"/>
      <c r="C22" s="1177"/>
      <c r="D22" s="1175"/>
      <c r="E22" s="1179"/>
      <c r="F22" s="678" t="s">
        <v>854</v>
      </c>
      <c r="G22" s="1173"/>
      <c r="H22" s="1177"/>
      <c r="I22" s="1175"/>
      <c r="J22" s="1179"/>
      <c r="K22" s="678" t="s">
        <v>854</v>
      </c>
      <c r="L22" s="1173"/>
      <c r="M22" s="1177"/>
      <c r="N22" s="1175"/>
      <c r="O22" s="1180"/>
      <c r="P22" s="678" t="s">
        <v>854</v>
      </c>
      <c r="Q22" s="1173"/>
      <c r="R22" s="1177"/>
      <c r="S22" s="1175"/>
      <c r="T22" s="569"/>
      <c r="U22" s="678" t="s">
        <v>854</v>
      </c>
      <c r="V22" s="1173"/>
      <c r="W22" s="1177"/>
      <c r="X22" s="1175"/>
      <c r="Z22" s="678" t="s">
        <v>854</v>
      </c>
      <c r="AA22" s="1173"/>
      <c r="AB22" s="1177"/>
      <c r="AC22" s="1175"/>
      <c r="AE22" s="678" t="s">
        <v>854</v>
      </c>
      <c r="AF22" s="1173"/>
      <c r="AG22" s="1177"/>
      <c r="AH22" s="1175"/>
      <c r="AJ22" s="678" t="s">
        <v>854</v>
      </c>
      <c r="AK22" s="1173"/>
      <c r="AL22" s="1177"/>
      <c r="AM22" s="1175"/>
      <c r="AO22" s="678" t="s">
        <v>854</v>
      </c>
      <c r="AP22" s="1173"/>
      <c r="AQ22" s="1177"/>
      <c r="AR22" s="1175"/>
      <c r="AT22" s="678" t="s">
        <v>854</v>
      </c>
      <c r="AU22" s="1173"/>
      <c r="AV22" s="1177"/>
      <c r="AW22" s="1175"/>
      <c r="AY22" s="678" t="s">
        <v>854</v>
      </c>
      <c r="AZ22" s="1173"/>
      <c r="BA22" s="1177"/>
      <c r="BB22" s="1175"/>
      <c r="BD22" s="678" t="s">
        <v>854</v>
      </c>
      <c r="BE22" s="1173"/>
      <c r="BF22" s="1177"/>
      <c r="BG22" s="1175"/>
      <c r="BI22" s="678" t="s">
        <v>854</v>
      </c>
      <c r="BJ22" s="1173"/>
      <c r="BK22" s="1177"/>
      <c r="BL22" s="1175"/>
      <c r="BN22" s="678" t="s">
        <v>854</v>
      </c>
      <c r="BO22" s="1173"/>
      <c r="BP22" s="1177"/>
      <c r="BQ22" s="1175"/>
      <c r="BS22" s="678" t="s">
        <v>854</v>
      </c>
      <c r="BT22" s="1173"/>
      <c r="BU22" s="1177"/>
      <c r="BV22" s="1175"/>
    </row>
    <row r="23" spans="1:74" ht="16" thickBot="1">
      <c r="A23" s="679" t="s">
        <v>758</v>
      </c>
      <c r="B23" s="680">
        <f>'BKFC Inputs'!G24</f>
        <v>0</v>
      </c>
      <c r="C23" s="681"/>
      <c r="D23" s="681"/>
      <c r="E23" s="668"/>
      <c r="F23" s="679" t="s">
        <v>758</v>
      </c>
      <c r="G23" s="680">
        <f>'BKFC Inputs'!G37</f>
        <v>2000</v>
      </c>
      <c r="H23" s="681"/>
      <c r="I23" s="681"/>
      <c r="J23" s="668"/>
      <c r="K23" s="679" t="s">
        <v>758</v>
      </c>
      <c r="L23" s="680">
        <f>'BKFC Inputs'!G50</f>
        <v>0</v>
      </c>
      <c r="M23" s="681"/>
      <c r="N23" s="681"/>
      <c r="O23" s="668"/>
      <c r="P23" s="679" t="s">
        <v>758</v>
      </c>
      <c r="Q23" s="680">
        <f>'BKFC Inputs'!G63</f>
        <v>0</v>
      </c>
      <c r="R23" s="681"/>
      <c r="S23" s="681"/>
      <c r="T23" s="551"/>
      <c r="U23" s="679" t="s">
        <v>758</v>
      </c>
      <c r="V23" s="680">
        <f>'BKFC Inputs'!G76</f>
        <v>2500</v>
      </c>
      <c r="W23" s="681"/>
      <c r="X23" s="681"/>
      <c r="Z23" s="679" t="s">
        <v>758</v>
      </c>
      <c r="AA23" s="680">
        <f>'BKFC Inputs'!G89</f>
        <v>0</v>
      </c>
      <c r="AB23" s="681"/>
      <c r="AC23" s="681"/>
      <c r="AE23" s="679" t="s">
        <v>758</v>
      </c>
      <c r="AF23" s="680">
        <f>'BKFC Inputs'!G102</f>
        <v>0</v>
      </c>
      <c r="AG23" s="681"/>
      <c r="AH23" s="681"/>
      <c r="AJ23" s="679" t="s">
        <v>758</v>
      </c>
      <c r="AK23" s="680">
        <f>'BKFC Inputs'!G115</f>
        <v>4000</v>
      </c>
      <c r="AL23" s="681"/>
      <c r="AM23" s="681"/>
      <c r="AO23" s="679" t="s">
        <v>758</v>
      </c>
      <c r="AP23" s="680">
        <f>'BKFC Inputs'!G128</f>
        <v>0</v>
      </c>
      <c r="AQ23" s="681"/>
      <c r="AR23" s="681"/>
      <c r="AT23" s="679" t="s">
        <v>758</v>
      </c>
      <c r="AU23" s="680">
        <f>'BKFC Inputs'!G141</f>
        <v>0</v>
      </c>
      <c r="AV23" s="681"/>
      <c r="AW23" s="681"/>
      <c r="AY23" s="679" t="s">
        <v>758</v>
      </c>
      <c r="AZ23" s="680">
        <f>'BKFC Inputs'!G154</f>
        <v>5000</v>
      </c>
      <c r="BA23" s="681"/>
      <c r="BB23" s="681"/>
      <c r="BD23" s="679" t="s">
        <v>758</v>
      </c>
      <c r="BE23" s="680">
        <f>'BKFC Inputs'!G167</f>
        <v>0</v>
      </c>
      <c r="BF23" s="681"/>
      <c r="BG23" s="681"/>
      <c r="BI23" s="679" t="s">
        <v>758</v>
      </c>
      <c r="BJ23" s="680">
        <f>'BKFC Inputs'!G180</f>
        <v>0</v>
      </c>
      <c r="BK23" s="681"/>
      <c r="BL23" s="681"/>
      <c r="BN23" s="679" t="s">
        <v>758</v>
      </c>
      <c r="BO23" s="680">
        <f>'BKFC Inputs'!G193</f>
        <v>6000</v>
      </c>
      <c r="BP23" s="681"/>
      <c r="BQ23" s="681"/>
      <c r="BS23" s="679" t="s">
        <v>758</v>
      </c>
      <c r="BT23" s="680">
        <f>'BKFC Inputs'!G206</f>
        <v>0</v>
      </c>
      <c r="BU23" s="681"/>
      <c r="BV23" s="681"/>
    </row>
    <row r="24" spans="1:74" ht="17" thickBot="1">
      <c r="A24" s="682" t="s">
        <v>188</v>
      </c>
      <c r="B24" s="681">
        <f>'BKFC Inputs'!I24</f>
        <v>0</v>
      </c>
      <c r="C24" s="681"/>
      <c r="D24" s="683"/>
      <c r="E24" s="668"/>
      <c r="F24" s="682" t="s">
        <v>188</v>
      </c>
      <c r="G24" s="681">
        <f>'BKFC Inputs'!I37</f>
        <v>20</v>
      </c>
      <c r="H24" s="681"/>
      <c r="I24" s="683"/>
      <c r="J24" s="668"/>
      <c r="K24" s="682" t="s">
        <v>188</v>
      </c>
      <c r="L24" s="681">
        <f>'BKFC Inputs'!I50</f>
        <v>0</v>
      </c>
      <c r="M24" s="681"/>
      <c r="N24" s="683"/>
      <c r="O24" s="668"/>
      <c r="P24" s="682" t="s">
        <v>188</v>
      </c>
      <c r="Q24" s="681">
        <f>'BKFC Inputs'!I63</f>
        <v>0</v>
      </c>
      <c r="R24" s="681"/>
      <c r="S24" s="683"/>
      <c r="T24" s="551"/>
      <c r="U24" s="682" t="s">
        <v>188</v>
      </c>
      <c r="V24" s="681">
        <f>'BKFC Inputs'!I76</f>
        <v>20</v>
      </c>
      <c r="W24" s="681"/>
      <c r="X24" s="683"/>
      <c r="Z24" s="682" t="s">
        <v>188</v>
      </c>
      <c r="AA24" s="681">
        <f>'BKFC Inputs'!I89</f>
        <v>0</v>
      </c>
      <c r="AB24" s="681"/>
      <c r="AC24" s="683"/>
      <c r="AE24" s="682" t="s">
        <v>188</v>
      </c>
      <c r="AF24" s="681">
        <f>'BKFC Inputs'!I102</f>
        <v>0</v>
      </c>
      <c r="AG24" s="681"/>
      <c r="AH24" s="683"/>
      <c r="AJ24" s="682" t="s">
        <v>188</v>
      </c>
      <c r="AK24" s="681">
        <f>'BKFC Inputs'!I115</f>
        <v>20</v>
      </c>
      <c r="AL24" s="681"/>
      <c r="AM24" s="683"/>
      <c r="AO24" s="682" t="s">
        <v>188</v>
      </c>
      <c r="AP24" s="681">
        <f>'BKFC Inputs'!I128</f>
        <v>0</v>
      </c>
      <c r="AQ24" s="681"/>
      <c r="AR24" s="683"/>
      <c r="AT24" s="682" t="s">
        <v>188</v>
      </c>
      <c r="AU24" s="681">
        <f>'BKFC Inputs'!I141</f>
        <v>0</v>
      </c>
      <c r="AV24" s="681"/>
      <c r="AW24" s="683"/>
      <c r="AY24" s="682" t="s">
        <v>188</v>
      </c>
      <c r="AZ24" s="681">
        <f>'BKFC Inputs'!I154</f>
        <v>20</v>
      </c>
      <c r="BA24" s="681"/>
      <c r="BB24" s="683"/>
      <c r="BD24" s="682" t="s">
        <v>188</v>
      </c>
      <c r="BE24" s="681">
        <f>'BKFC Inputs'!I167</f>
        <v>0</v>
      </c>
      <c r="BF24" s="681"/>
      <c r="BG24" s="683"/>
      <c r="BI24" s="682" t="s">
        <v>188</v>
      </c>
      <c r="BJ24" s="681">
        <f>'BKFC Inputs'!I180</f>
        <v>0</v>
      </c>
      <c r="BK24" s="681"/>
      <c r="BL24" s="683"/>
      <c r="BN24" s="682" t="s">
        <v>188</v>
      </c>
      <c r="BO24" s="681">
        <f>'BKFC Inputs'!I193</f>
        <v>20</v>
      </c>
      <c r="BP24" s="681"/>
      <c r="BQ24" s="683"/>
      <c r="BS24" s="682" t="s">
        <v>188</v>
      </c>
      <c r="BT24" s="681">
        <f>'BKFC Inputs'!I206</f>
        <v>0</v>
      </c>
      <c r="BU24" s="681"/>
      <c r="BV24" s="683"/>
    </row>
    <row r="25" spans="1:74" ht="16" thickBot="1">
      <c r="A25" s="679" t="s">
        <v>759</v>
      </c>
      <c r="B25" s="680">
        <f>B23*B24</f>
        <v>0</v>
      </c>
      <c r="C25" s="684"/>
      <c r="D25" s="685"/>
      <c r="E25" s="668"/>
      <c r="F25" s="679" t="s">
        <v>759</v>
      </c>
      <c r="G25" s="680">
        <f>G23*G24</f>
        <v>40000</v>
      </c>
      <c r="H25" s="684"/>
      <c r="I25" s="685"/>
      <c r="J25" s="668"/>
      <c r="K25" s="679" t="s">
        <v>759</v>
      </c>
      <c r="L25" s="680">
        <f>L23*L24</f>
        <v>0</v>
      </c>
      <c r="M25" s="684"/>
      <c r="N25" s="685"/>
      <c r="O25" s="668"/>
      <c r="P25" s="679" t="s">
        <v>759</v>
      </c>
      <c r="Q25" s="680">
        <f>Q23*Q24</f>
        <v>0</v>
      </c>
      <c r="R25" s="684"/>
      <c r="S25" s="685"/>
      <c r="T25" s="551"/>
      <c r="U25" s="679" t="s">
        <v>759</v>
      </c>
      <c r="V25" s="680">
        <f>V23*V24</f>
        <v>50000</v>
      </c>
      <c r="W25" s="684"/>
      <c r="X25" s="685"/>
      <c r="Z25" s="679" t="s">
        <v>759</v>
      </c>
      <c r="AA25" s="680">
        <f>AA23*AA24</f>
        <v>0</v>
      </c>
      <c r="AB25" s="684"/>
      <c r="AC25" s="685"/>
      <c r="AE25" s="679" t="s">
        <v>759</v>
      </c>
      <c r="AF25" s="680">
        <f>AF23*AF24</f>
        <v>0</v>
      </c>
      <c r="AG25" s="684"/>
      <c r="AH25" s="685"/>
      <c r="AJ25" s="679" t="s">
        <v>759</v>
      </c>
      <c r="AK25" s="680">
        <f>AK23*AK24</f>
        <v>80000</v>
      </c>
      <c r="AL25" s="684"/>
      <c r="AM25" s="685"/>
      <c r="AO25" s="679" t="s">
        <v>759</v>
      </c>
      <c r="AP25" s="680">
        <f>AP23*AP24</f>
        <v>0</v>
      </c>
      <c r="AQ25" s="684"/>
      <c r="AR25" s="685"/>
      <c r="AT25" s="679" t="s">
        <v>759</v>
      </c>
      <c r="AU25" s="680">
        <f>AU23*AU24</f>
        <v>0</v>
      </c>
      <c r="AV25" s="684"/>
      <c r="AW25" s="685"/>
      <c r="AY25" s="679" t="s">
        <v>759</v>
      </c>
      <c r="AZ25" s="680">
        <f>AZ23*AZ24</f>
        <v>100000</v>
      </c>
      <c r="BA25" s="684"/>
      <c r="BB25" s="685"/>
      <c r="BD25" s="679" t="s">
        <v>759</v>
      </c>
      <c r="BE25" s="680">
        <f>BE23*BE24</f>
        <v>0</v>
      </c>
      <c r="BF25" s="684"/>
      <c r="BG25" s="685"/>
      <c r="BI25" s="679" t="s">
        <v>759</v>
      </c>
      <c r="BJ25" s="680">
        <f>BJ23*BJ24</f>
        <v>0</v>
      </c>
      <c r="BK25" s="684"/>
      <c r="BL25" s="685"/>
      <c r="BN25" s="679" t="s">
        <v>759</v>
      </c>
      <c r="BO25" s="680">
        <f>BO23*BO24</f>
        <v>120000</v>
      </c>
      <c r="BP25" s="684"/>
      <c r="BQ25" s="685"/>
      <c r="BS25" s="679" t="s">
        <v>759</v>
      </c>
      <c r="BT25" s="680">
        <f>BT23*BT24</f>
        <v>0</v>
      </c>
      <c r="BU25" s="684"/>
      <c r="BV25" s="685"/>
    </row>
    <row r="26" spans="1:74" ht="16" thickBot="1">
      <c r="A26" s="679" t="s">
        <v>192</v>
      </c>
      <c r="B26" s="681">
        <f>'BKFC Inputs'!K24</f>
        <v>0</v>
      </c>
      <c r="C26" s="684"/>
      <c r="D26" s="686"/>
      <c r="E26" s="668"/>
      <c r="F26" s="679" t="s">
        <v>192</v>
      </c>
      <c r="G26" s="681">
        <f>'BKFC Inputs'!K37</f>
        <v>6</v>
      </c>
      <c r="H26" s="684"/>
      <c r="I26" s="686"/>
      <c r="J26" s="668"/>
      <c r="K26" s="679" t="s">
        <v>192</v>
      </c>
      <c r="L26" s="681">
        <f>'BKFC Inputs'!K50</f>
        <v>0</v>
      </c>
      <c r="M26" s="684"/>
      <c r="N26" s="686"/>
      <c r="O26" s="668"/>
      <c r="P26" s="679" t="s">
        <v>192</v>
      </c>
      <c r="Q26" s="681">
        <f>'BKFC Inputs'!K63</f>
        <v>0</v>
      </c>
      <c r="R26" s="684"/>
      <c r="S26" s="686"/>
      <c r="U26" s="679" t="s">
        <v>192</v>
      </c>
      <c r="V26" s="681">
        <f>'BKFC Inputs'!K76</f>
        <v>6</v>
      </c>
      <c r="W26" s="684"/>
      <c r="X26" s="686"/>
      <c r="Z26" s="679" t="s">
        <v>192</v>
      </c>
      <c r="AA26" s="681">
        <f>'BKFC Inputs'!K89</f>
        <v>0</v>
      </c>
      <c r="AB26" s="684"/>
      <c r="AC26" s="686"/>
      <c r="AE26" s="679" t="s">
        <v>192</v>
      </c>
      <c r="AF26" s="681">
        <f>'BKFC Inputs'!K102</f>
        <v>0</v>
      </c>
      <c r="AG26" s="684"/>
      <c r="AH26" s="686"/>
      <c r="AJ26" s="679" t="s">
        <v>192</v>
      </c>
      <c r="AK26" s="681">
        <f>'BKFC Inputs'!K115</f>
        <v>6</v>
      </c>
      <c r="AL26" s="684"/>
      <c r="AM26" s="686"/>
      <c r="AO26" s="679" t="s">
        <v>192</v>
      </c>
      <c r="AP26" s="681">
        <f>'BKFC Inputs'!K128</f>
        <v>0</v>
      </c>
      <c r="AQ26" s="684"/>
      <c r="AR26" s="686"/>
      <c r="AT26" s="679" t="s">
        <v>192</v>
      </c>
      <c r="AU26" s="681">
        <f>'BKFC Inputs'!K141</f>
        <v>0</v>
      </c>
      <c r="AV26" s="684"/>
      <c r="AW26" s="686"/>
      <c r="AY26" s="679" t="s">
        <v>192</v>
      </c>
      <c r="AZ26" s="681">
        <f>'BKFC Inputs'!K154</f>
        <v>6</v>
      </c>
      <c r="BA26" s="684"/>
      <c r="BB26" s="686"/>
      <c r="BD26" s="679" t="s">
        <v>192</v>
      </c>
      <c r="BE26" s="681">
        <f>'BKFC Inputs'!K167</f>
        <v>0</v>
      </c>
      <c r="BF26" s="684"/>
      <c r="BG26" s="686"/>
      <c r="BI26" s="679" t="s">
        <v>192</v>
      </c>
      <c r="BJ26" s="681">
        <f>'BKFC Inputs'!K180</f>
        <v>0</v>
      </c>
      <c r="BK26" s="684"/>
      <c r="BL26" s="686"/>
      <c r="BN26" s="679" t="s">
        <v>192</v>
      </c>
      <c r="BO26" s="681">
        <f>'BKFC Inputs'!K193</f>
        <v>6</v>
      </c>
      <c r="BP26" s="684"/>
      <c r="BQ26" s="686"/>
      <c r="BS26" s="679" t="s">
        <v>192</v>
      </c>
      <c r="BT26" s="681">
        <f>'BKFC Inputs'!K206</f>
        <v>0</v>
      </c>
      <c r="BU26" s="684"/>
      <c r="BV26" s="686"/>
    </row>
    <row r="27" spans="1:74" ht="16" thickBot="1">
      <c r="A27" s="687" t="s">
        <v>195</v>
      </c>
      <c r="B27" s="681">
        <f>'BKFC Inputs'!M24</f>
        <v>0</v>
      </c>
      <c r="C27" s="681"/>
      <c r="D27" s="681"/>
      <c r="E27" s="668"/>
      <c r="F27" s="687" t="s">
        <v>195</v>
      </c>
      <c r="G27" s="681">
        <f>'BKFC Inputs'!M37</f>
        <v>12</v>
      </c>
      <c r="H27" s="681"/>
      <c r="I27" s="681"/>
      <c r="J27" s="668"/>
      <c r="K27" s="687" t="s">
        <v>195</v>
      </c>
      <c r="L27" s="681">
        <f>'BKFC Inputs'!M50</f>
        <v>0</v>
      </c>
      <c r="M27" s="681"/>
      <c r="N27" s="681"/>
      <c r="O27" s="668"/>
      <c r="P27" s="687" t="s">
        <v>195</v>
      </c>
      <c r="Q27" s="681">
        <f>'BKFC Inputs'!M63</f>
        <v>0</v>
      </c>
      <c r="R27" s="681"/>
      <c r="S27" s="681"/>
      <c r="U27" s="687" t="s">
        <v>195</v>
      </c>
      <c r="V27" s="681">
        <f>'BKFC Inputs'!M76</f>
        <v>12</v>
      </c>
      <c r="W27" s="681"/>
      <c r="X27" s="681"/>
      <c r="Z27" s="687" t="s">
        <v>195</v>
      </c>
      <c r="AA27" s="681">
        <f>'BKFC Inputs'!M89</f>
        <v>0</v>
      </c>
      <c r="AB27" s="681"/>
      <c r="AC27" s="681"/>
      <c r="AE27" s="687" t="s">
        <v>195</v>
      </c>
      <c r="AF27" s="681">
        <f>'BKFC Inputs'!M102</f>
        <v>0</v>
      </c>
      <c r="AG27" s="681"/>
      <c r="AH27" s="681"/>
      <c r="AJ27" s="687" t="s">
        <v>195</v>
      </c>
      <c r="AK27" s="681">
        <f>'BKFC Inputs'!M115</f>
        <v>12</v>
      </c>
      <c r="AL27" s="681"/>
      <c r="AM27" s="681"/>
      <c r="AO27" s="687" t="s">
        <v>195</v>
      </c>
      <c r="AP27" s="681">
        <f>'BKFC Inputs'!M128</f>
        <v>0</v>
      </c>
      <c r="AQ27" s="681"/>
      <c r="AR27" s="681"/>
      <c r="AT27" s="687" t="s">
        <v>195</v>
      </c>
      <c r="AU27" s="681">
        <f>'BKFC Inputs'!M141</f>
        <v>0</v>
      </c>
      <c r="AV27" s="681"/>
      <c r="AW27" s="681"/>
      <c r="AY27" s="687" t="s">
        <v>195</v>
      </c>
      <c r="AZ27" s="681">
        <f>'BKFC Inputs'!M154</f>
        <v>12</v>
      </c>
      <c r="BA27" s="681"/>
      <c r="BB27" s="681"/>
      <c r="BD27" s="687" t="s">
        <v>195</v>
      </c>
      <c r="BE27" s="681">
        <f>'BKFC Inputs'!M167</f>
        <v>0</v>
      </c>
      <c r="BF27" s="681"/>
      <c r="BG27" s="681"/>
      <c r="BI27" s="687" t="s">
        <v>195</v>
      </c>
      <c r="BJ27" s="681">
        <f>'BKFC Inputs'!M180</f>
        <v>0</v>
      </c>
      <c r="BK27" s="681"/>
      <c r="BL27" s="681"/>
      <c r="BN27" s="687" t="s">
        <v>195</v>
      </c>
      <c r="BO27" s="681">
        <f>'BKFC Inputs'!M193</f>
        <v>12</v>
      </c>
      <c r="BP27" s="681"/>
      <c r="BQ27" s="681"/>
      <c r="BS27" s="687" t="s">
        <v>195</v>
      </c>
      <c r="BT27" s="681">
        <f>'BKFC Inputs'!M206</f>
        <v>0</v>
      </c>
      <c r="BU27" s="681"/>
      <c r="BV27" s="681"/>
    </row>
    <row r="28" spans="1:74" ht="16" thickBot="1">
      <c r="A28" s="679" t="s">
        <v>761</v>
      </c>
      <c r="B28" s="680">
        <f>B25*B26</f>
        <v>0</v>
      </c>
      <c r="C28" s="681"/>
      <c r="D28" s="681"/>
      <c r="E28" s="668"/>
      <c r="F28" s="679" t="s">
        <v>761</v>
      </c>
      <c r="G28" s="680">
        <f>G25*G26</f>
        <v>240000</v>
      </c>
      <c r="H28" s="681"/>
      <c r="I28" s="681"/>
      <c r="J28" s="668"/>
      <c r="K28" s="679" t="s">
        <v>761</v>
      </c>
      <c r="L28" s="680">
        <f>L25*L26</f>
        <v>0</v>
      </c>
      <c r="M28" s="681"/>
      <c r="N28" s="681"/>
      <c r="O28" s="668"/>
      <c r="P28" s="679" t="s">
        <v>761</v>
      </c>
      <c r="Q28" s="680">
        <f>Q25*Q26</f>
        <v>0</v>
      </c>
      <c r="R28" s="681"/>
      <c r="S28" s="681"/>
      <c r="U28" s="679" t="s">
        <v>761</v>
      </c>
      <c r="V28" s="680">
        <f>V25*V26</f>
        <v>300000</v>
      </c>
      <c r="W28" s="681"/>
      <c r="X28" s="681"/>
      <c r="Z28" s="679" t="s">
        <v>761</v>
      </c>
      <c r="AA28" s="680">
        <f>AA25*AA26</f>
        <v>0</v>
      </c>
      <c r="AB28" s="681"/>
      <c r="AC28" s="681"/>
      <c r="AE28" s="679" t="s">
        <v>761</v>
      </c>
      <c r="AF28" s="680">
        <f>AF25*AF26</f>
        <v>0</v>
      </c>
      <c r="AG28" s="681"/>
      <c r="AH28" s="681"/>
      <c r="AJ28" s="679" t="s">
        <v>761</v>
      </c>
      <c r="AK28" s="680">
        <f>AK25*AK26</f>
        <v>480000</v>
      </c>
      <c r="AL28" s="681"/>
      <c r="AM28" s="681"/>
      <c r="AO28" s="679" t="s">
        <v>761</v>
      </c>
      <c r="AP28" s="680">
        <f>AP25*AP26</f>
        <v>0</v>
      </c>
      <c r="AQ28" s="681"/>
      <c r="AR28" s="681"/>
      <c r="AT28" s="679" t="s">
        <v>761</v>
      </c>
      <c r="AU28" s="680">
        <f>AU25*AU26</f>
        <v>0</v>
      </c>
      <c r="AV28" s="681"/>
      <c r="AW28" s="681"/>
      <c r="AY28" s="679" t="s">
        <v>761</v>
      </c>
      <c r="AZ28" s="680">
        <f>AZ25*AZ26</f>
        <v>600000</v>
      </c>
      <c r="BA28" s="681"/>
      <c r="BB28" s="681"/>
      <c r="BD28" s="679" t="s">
        <v>761</v>
      </c>
      <c r="BE28" s="680">
        <f>BE25*BE26</f>
        <v>0</v>
      </c>
      <c r="BF28" s="681"/>
      <c r="BG28" s="681"/>
      <c r="BI28" s="679" t="s">
        <v>761</v>
      </c>
      <c r="BJ28" s="680">
        <f>BJ25*BJ26</f>
        <v>0</v>
      </c>
      <c r="BK28" s="681"/>
      <c r="BL28" s="681"/>
      <c r="BN28" s="679" t="s">
        <v>761</v>
      </c>
      <c r="BO28" s="680">
        <f>BO25*BO26</f>
        <v>720000</v>
      </c>
      <c r="BP28" s="681"/>
      <c r="BQ28" s="681"/>
      <c r="BS28" s="679" t="s">
        <v>761</v>
      </c>
      <c r="BT28" s="680">
        <f>BT25*BT26</f>
        <v>0</v>
      </c>
      <c r="BU28" s="681"/>
      <c r="BV28" s="681"/>
    </row>
    <row r="29" spans="1:74" ht="16" thickBot="1">
      <c r="A29" s="679" t="s">
        <v>762</v>
      </c>
      <c r="B29" s="680">
        <f>B28*B27</f>
        <v>0</v>
      </c>
      <c r="C29" s="681"/>
      <c r="D29" s="681"/>
      <c r="E29" s="668"/>
      <c r="F29" s="679" t="s">
        <v>762</v>
      </c>
      <c r="G29" s="680">
        <f>G28*G27</f>
        <v>2880000</v>
      </c>
      <c r="H29" s="681"/>
      <c r="I29" s="681"/>
      <c r="J29" s="668"/>
      <c r="K29" s="679" t="s">
        <v>762</v>
      </c>
      <c r="L29" s="680">
        <f>L28*L27</f>
        <v>0</v>
      </c>
      <c r="M29" s="681"/>
      <c r="N29" s="681"/>
      <c r="O29" s="668"/>
      <c r="P29" s="679" t="s">
        <v>762</v>
      </c>
      <c r="Q29" s="680">
        <f>Q28*Q27</f>
        <v>0</v>
      </c>
      <c r="R29" s="681"/>
      <c r="S29" s="681"/>
      <c r="U29" s="679" t="s">
        <v>762</v>
      </c>
      <c r="V29" s="680">
        <f>V28*V27</f>
        <v>3600000</v>
      </c>
      <c r="W29" s="681"/>
      <c r="X29" s="681"/>
      <c r="Z29" s="679" t="s">
        <v>762</v>
      </c>
      <c r="AA29" s="680">
        <f>AA28*AA27</f>
        <v>0</v>
      </c>
      <c r="AB29" s="681"/>
      <c r="AC29" s="681"/>
      <c r="AE29" s="679" t="s">
        <v>762</v>
      </c>
      <c r="AF29" s="680">
        <f>AF28*AF27</f>
        <v>0</v>
      </c>
      <c r="AG29" s="681"/>
      <c r="AH29" s="681"/>
      <c r="AJ29" s="679" t="s">
        <v>762</v>
      </c>
      <c r="AK29" s="680">
        <f>AK28*AK27</f>
        <v>5760000</v>
      </c>
      <c r="AL29" s="681"/>
      <c r="AM29" s="681"/>
      <c r="AO29" s="679" t="s">
        <v>762</v>
      </c>
      <c r="AP29" s="680">
        <f>AP28*AP27</f>
        <v>0</v>
      </c>
      <c r="AQ29" s="681"/>
      <c r="AR29" s="681"/>
      <c r="AT29" s="679" t="s">
        <v>762</v>
      </c>
      <c r="AU29" s="680">
        <f>AU28*AU27</f>
        <v>0</v>
      </c>
      <c r="AV29" s="681"/>
      <c r="AW29" s="681"/>
      <c r="AY29" s="679" t="s">
        <v>762</v>
      </c>
      <c r="AZ29" s="680">
        <f>AZ28*AZ27</f>
        <v>7200000</v>
      </c>
      <c r="BA29" s="681"/>
      <c r="BB29" s="681"/>
      <c r="BD29" s="679" t="s">
        <v>762</v>
      </c>
      <c r="BE29" s="680">
        <f>BE28*BE27</f>
        <v>0</v>
      </c>
      <c r="BF29" s="681"/>
      <c r="BG29" s="681"/>
      <c r="BI29" s="679" t="s">
        <v>762</v>
      </c>
      <c r="BJ29" s="680">
        <f>BJ28*BJ27</f>
        <v>0</v>
      </c>
      <c r="BK29" s="681"/>
      <c r="BL29" s="681"/>
      <c r="BN29" s="679" t="s">
        <v>762</v>
      </c>
      <c r="BO29" s="680">
        <f>BO28*BO27</f>
        <v>8640000</v>
      </c>
      <c r="BP29" s="681"/>
      <c r="BQ29" s="681"/>
      <c r="BS29" s="679" t="s">
        <v>762</v>
      </c>
      <c r="BT29" s="680">
        <f>BT28*BT27</f>
        <v>0</v>
      </c>
      <c r="BU29" s="681"/>
      <c r="BV29" s="681"/>
    </row>
    <row r="30" spans="1:74" ht="16" thickBot="1">
      <c r="A30" s="679" t="s">
        <v>763</v>
      </c>
      <c r="B30" s="688" t="e">
        <f>C34/B29</f>
        <v>#DIV/0!</v>
      </c>
      <c r="C30" s="681"/>
      <c r="D30" s="689"/>
      <c r="E30" s="668"/>
      <c r="F30" s="679" t="s">
        <v>763</v>
      </c>
      <c r="G30" s="688">
        <f>H34/G29</f>
        <v>0.34715277777777775</v>
      </c>
      <c r="H30" s="681"/>
      <c r="I30" s="689"/>
      <c r="J30" s="668"/>
      <c r="K30" s="679" t="s">
        <v>763</v>
      </c>
      <c r="L30" s="688" t="e">
        <f>M34/L29</f>
        <v>#DIV/0!</v>
      </c>
      <c r="M30" s="681"/>
      <c r="N30" s="689"/>
      <c r="O30" s="668"/>
      <c r="P30" s="679" t="s">
        <v>763</v>
      </c>
      <c r="Q30" s="688" t="e">
        <f>R34/Q29</f>
        <v>#DIV/0!</v>
      </c>
      <c r="R30" s="681"/>
      <c r="S30" s="689"/>
      <c r="U30" s="679" t="s">
        <v>763</v>
      </c>
      <c r="V30" s="688">
        <f>W34/V29</f>
        <v>0.38187500000000002</v>
      </c>
      <c r="W30" s="681"/>
      <c r="X30" s="689"/>
      <c r="Z30" s="679" t="s">
        <v>763</v>
      </c>
      <c r="AA30" s="688" t="e">
        <f>AB34/AA29</f>
        <v>#DIV/0!</v>
      </c>
      <c r="AB30" s="681"/>
      <c r="AC30" s="689"/>
      <c r="AE30" s="679" t="s">
        <v>763</v>
      </c>
      <c r="AF30" s="688" t="e">
        <f>AG34/AF29</f>
        <v>#DIV/0!</v>
      </c>
      <c r="AG30" s="681"/>
      <c r="AH30" s="689"/>
      <c r="AJ30" s="679" t="s">
        <v>763</v>
      </c>
      <c r="AK30" s="688">
        <f>AL34/AK29</f>
        <v>0.41659722222222223</v>
      </c>
      <c r="AL30" s="681"/>
      <c r="AM30" s="689"/>
      <c r="AO30" s="679" t="s">
        <v>763</v>
      </c>
      <c r="AP30" s="688" t="e">
        <f>AQ34/AP29</f>
        <v>#DIV/0!</v>
      </c>
      <c r="AQ30" s="681"/>
      <c r="AR30" s="689"/>
      <c r="AT30" s="679" t="s">
        <v>763</v>
      </c>
      <c r="AU30" s="688" t="e">
        <f>AV34/AU29</f>
        <v>#DIV/0!</v>
      </c>
      <c r="AV30" s="681"/>
      <c r="AW30" s="689"/>
      <c r="AY30" s="679" t="s">
        <v>763</v>
      </c>
      <c r="AZ30" s="688">
        <f>BA34/AZ29</f>
        <v>0.41659722222222223</v>
      </c>
      <c r="BA30" s="681"/>
      <c r="BB30" s="689"/>
      <c r="BD30" s="679" t="s">
        <v>763</v>
      </c>
      <c r="BE30" s="688" t="e">
        <f>BF34/BE29</f>
        <v>#DIV/0!</v>
      </c>
      <c r="BF30" s="681"/>
      <c r="BG30" s="689"/>
      <c r="BI30" s="679" t="s">
        <v>763</v>
      </c>
      <c r="BJ30" s="688" t="e">
        <f>BK34/BJ29</f>
        <v>#DIV/0!</v>
      </c>
      <c r="BK30" s="681"/>
      <c r="BL30" s="689"/>
      <c r="BN30" s="679" t="s">
        <v>763</v>
      </c>
      <c r="BO30" s="688">
        <f>BP34/BO29</f>
        <v>0.41659722222222223</v>
      </c>
      <c r="BP30" s="681"/>
      <c r="BQ30" s="689"/>
      <c r="BS30" s="679" t="s">
        <v>763</v>
      </c>
      <c r="BT30" s="688" t="e">
        <f>BU34/BT29</f>
        <v>#DIV/0!</v>
      </c>
      <c r="BU30" s="681"/>
      <c r="BV30" s="689"/>
    </row>
    <row r="31" spans="1:74" ht="16" thickBot="1">
      <c r="A31" s="690"/>
      <c r="B31" s="691" t="s">
        <v>250</v>
      </c>
      <c r="C31" s="691" t="s">
        <v>764</v>
      </c>
      <c r="D31" s="691" t="s">
        <v>18</v>
      </c>
      <c r="E31" s="668"/>
      <c r="F31" s="690"/>
      <c r="G31" s="691" t="s">
        <v>250</v>
      </c>
      <c r="H31" s="691" t="s">
        <v>764</v>
      </c>
      <c r="I31" s="691" t="s">
        <v>18</v>
      </c>
      <c r="J31" s="668"/>
      <c r="K31" s="690"/>
      <c r="L31" s="691" t="s">
        <v>250</v>
      </c>
      <c r="M31" s="691" t="s">
        <v>764</v>
      </c>
      <c r="N31" s="691" t="s">
        <v>18</v>
      </c>
      <c r="O31" s="668"/>
      <c r="P31" s="690"/>
      <c r="Q31" s="691" t="s">
        <v>250</v>
      </c>
      <c r="R31" s="691" t="s">
        <v>764</v>
      </c>
      <c r="S31" s="691" t="s">
        <v>18</v>
      </c>
      <c r="U31" s="690"/>
      <c r="V31" s="691" t="s">
        <v>250</v>
      </c>
      <c r="W31" s="691" t="s">
        <v>764</v>
      </c>
      <c r="X31" s="691" t="s">
        <v>18</v>
      </c>
      <c r="Z31" s="690"/>
      <c r="AA31" s="691" t="s">
        <v>250</v>
      </c>
      <c r="AB31" s="691" t="s">
        <v>764</v>
      </c>
      <c r="AC31" s="691" t="s">
        <v>18</v>
      </c>
      <c r="AE31" s="690"/>
      <c r="AF31" s="691" t="s">
        <v>250</v>
      </c>
      <c r="AG31" s="691" t="s">
        <v>764</v>
      </c>
      <c r="AH31" s="691" t="s">
        <v>18</v>
      </c>
      <c r="AJ31" s="690"/>
      <c r="AK31" s="691" t="s">
        <v>250</v>
      </c>
      <c r="AL31" s="691" t="s">
        <v>764</v>
      </c>
      <c r="AM31" s="691" t="s">
        <v>18</v>
      </c>
      <c r="AO31" s="690"/>
      <c r="AP31" s="691" t="s">
        <v>250</v>
      </c>
      <c r="AQ31" s="691" t="s">
        <v>764</v>
      </c>
      <c r="AR31" s="691" t="s">
        <v>18</v>
      </c>
      <c r="AT31" s="690"/>
      <c r="AU31" s="691" t="s">
        <v>250</v>
      </c>
      <c r="AV31" s="691" t="s">
        <v>764</v>
      </c>
      <c r="AW31" s="691" t="s">
        <v>18</v>
      </c>
      <c r="AY31" s="690"/>
      <c r="AZ31" s="691" t="s">
        <v>250</v>
      </c>
      <c r="BA31" s="691" t="s">
        <v>764</v>
      </c>
      <c r="BB31" s="691" t="s">
        <v>18</v>
      </c>
      <c r="BD31" s="690"/>
      <c r="BE31" s="691" t="s">
        <v>250</v>
      </c>
      <c r="BF31" s="691" t="s">
        <v>764</v>
      </c>
      <c r="BG31" s="691" t="s">
        <v>18</v>
      </c>
      <c r="BI31" s="690"/>
      <c r="BJ31" s="691" t="s">
        <v>250</v>
      </c>
      <c r="BK31" s="691" t="s">
        <v>764</v>
      </c>
      <c r="BL31" s="691" t="s">
        <v>18</v>
      </c>
      <c r="BN31" s="690"/>
      <c r="BO31" s="691" t="s">
        <v>250</v>
      </c>
      <c r="BP31" s="691" t="s">
        <v>764</v>
      </c>
      <c r="BQ31" s="691" t="s">
        <v>18</v>
      </c>
      <c r="BS31" s="690"/>
      <c r="BT31" s="691" t="s">
        <v>250</v>
      </c>
      <c r="BU31" s="691" t="s">
        <v>764</v>
      </c>
      <c r="BV31" s="691" t="s">
        <v>18</v>
      </c>
    </row>
    <row r="32" spans="1:74" ht="16" thickBot="1">
      <c r="A32" s="692" t="s">
        <v>765</v>
      </c>
      <c r="B32" s="693">
        <f>ROUND(C32*$B$89,2)</f>
        <v>0</v>
      </c>
      <c r="C32" s="694">
        <f>ROUND(D32*'BKFC Inputs'!$G$11,2)</f>
        <v>0</v>
      </c>
      <c r="D32" s="694">
        <f>C21</f>
        <v>0</v>
      </c>
      <c r="E32" s="668"/>
      <c r="F32" s="692" t="s">
        <v>765</v>
      </c>
      <c r="G32" s="693">
        <f>ROUND(H32*$B$89,2)</f>
        <v>11.75</v>
      </c>
      <c r="H32" s="694">
        <f>ROUND(I32*'BKFC Inputs'!$G$11,2)</f>
        <v>25</v>
      </c>
      <c r="I32" s="694">
        <f>H21</f>
        <v>49.99</v>
      </c>
      <c r="J32" s="668"/>
      <c r="K32" s="692" t="s">
        <v>765</v>
      </c>
      <c r="L32" s="693">
        <f>ROUND(M32*$B$89,2)</f>
        <v>0</v>
      </c>
      <c r="M32" s="694">
        <f>ROUND(N32*'BKFC Inputs'!$G$11,2)</f>
        <v>0</v>
      </c>
      <c r="N32" s="694">
        <f>M21</f>
        <v>0</v>
      </c>
      <c r="O32" s="668"/>
      <c r="P32" s="692" t="s">
        <v>765</v>
      </c>
      <c r="Q32" s="693">
        <f>ROUND(R32*$B$89,2)</f>
        <v>0</v>
      </c>
      <c r="R32" s="694">
        <f>ROUND(S32*'BKFC Inputs'!$G$11,2)</f>
        <v>0</v>
      </c>
      <c r="S32" s="694">
        <f>R21</f>
        <v>0</v>
      </c>
      <c r="U32" s="692" t="s">
        <v>765</v>
      </c>
      <c r="V32" s="693">
        <f>ROUND(W32*$B$89,2)</f>
        <v>12.93</v>
      </c>
      <c r="W32" s="694">
        <f>ROUND(X32*'BKFC Inputs'!$G$11,2)</f>
        <v>27.5</v>
      </c>
      <c r="X32" s="694">
        <f>W21</f>
        <v>54.99</v>
      </c>
      <c r="Z32" s="692" t="s">
        <v>765</v>
      </c>
      <c r="AA32" s="693">
        <f>ROUND(AB32*$B$89,2)</f>
        <v>0</v>
      </c>
      <c r="AB32" s="694">
        <f>ROUND(AC32*'BKFC Inputs'!$G$11,2)</f>
        <v>0</v>
      </c>
      <c r="AC32" s="694">
        <f>AB21</f>
        <v>0</v>
      </c>
      <c r="AE32" s="692" t="s">
        <v>765</v>
      </c>
      <c r="AF32" s="693">
        <f>ROUND(AG32*$B$89,2)</f>
        <v>0</v>
      </c>
      <c r="AG32" s="694">
        <f>ROUND(AH32*'BKFC Inputs'!$G$11,2)</f>
        <v>0</v>
      </c>
      <c r="AH32" s="694">
        <f>AG21</f>
        <v>0</v>
      </c>
      <c r="AJ32" s="692" t="s">
        <v>765</v>
      </c>
      <c r="AK32" s="693">
        <f>ROUND(AL32*$B$89,2)</f>
        <v>14.1</v>
      </c>
      <c r="AL32" s="694">
        <f>ROUND(AM32*'BKFC Inputs'!$G$11,2)</f>
        <v>30</v>
      </c>
      <c r="AM32" s="694">
        <f>AL21</f>
        <v>59.99</v>
      </c>
      <c r="AO32" s="692" t="s">
        <v>765</v>
      </c>
      <c r="AP32" s="693">
        <f>ROUND(AQ32*$B$89,2)</f>
        <v>0</v>
      </c>
      <c r="AQ32" s="694">
        <f>ROUND(AR32*'BKFC Inputs'!$G$11,2)</f>
        <v>0</v>
      </c>
      <c r="AR32" s="694">
        <f>AQ21</f>
        <v>0</v>
      </c>
      <c r="AT32" s="692" t="s">
        <v>765</v>
      </c>
      <c r="AU32" s="693">
        <f>ROUND(AV32*$B$89,2)</f>
        <v>0</v>
      </c>
      <c r="AV32" s="694">
        <f>ROUND(AW32*'BKFC Inputs'!$G$11,2)</f>
        <v>0</v>
      </c>
      <c r="AW32" s="694">
        <f>AV21</f>
        <v>0</v>
      </c>
      <c r="AY32" s="692" t="s">
        <v>765</v>
      </c>
      <c r="AZ32" s="693">
        <f>ROUND(BA32*$B$89,2)</f>
        <v>14.1</v>
      </c>
      <c r="BA32" s="694">
        <f>ROUND(BB32*'BKFC Inputs'!$G$11,2)</f>
        <v>30</v>
      </c>
      <c r="BB32" s="694">
        <f>BA21</f>
        <v>59.99</v>
      </c>
      <c r="BD32" s="692" t="s">
        <v>765</v>
      </c>
      <c r="BE32" s="693">
        <f>ROUND(BF32*$B$89,2)</f>
        <v>0</v>
      </c>
      <c r="BF32" s="694">
        <f>ROUND(BG32*'BKFC Inputs'!$G$11,2)</f>
        <v>0</v>
      </c>
      <c r="BG32" s="694">
        <f>BF21</f>
        <v>0</v>
      </c>
      <c r="BI32" s="692" t="s">
        <v>765</v>
      </c>
      <c r="BJ32" s="693">
        <f>ROUND(BK32*$B$89,2)</f>
        <v>0</v>
      </c>
      <c r="BK32" s="694">
        <f>ROUND(BL32*'BKFC Inputs'!$G$11,2)</f>
        <v>0</v>
      </c>
      <c r="BL32" s="694">
        <f>BK21</f>
        <v>0</v>
      </c>
      <c r="BN32" s="692" t="s">
        <v>765</v>
      </c>
      <c r="BO32" s="693">
        <f>ROUND(BP32*$B$89,2)</f>
        <v>14.1</v>
      </c>
      <c r="BP32" s="694">
        <f>ROUND(BQ32*'BKFC Inputs'!$G$11,2)</f>
        <v>30</v>
      </c>
      <c r="BQ32" s="694">
        <f>BP21</f>
        <v>59.99</v>
      </c>
      <c r="BS32" s="692" t="s">
        <v>765</v>
      </c>
      <c r="BT32" s="693">
        <f>ROUND(BU32*$B$89,2)</f>
        <v>0</v>
      </c>
      <c r="BU32" s="694">
        <f>ROUND(BV32*'BKFC Inputs'!$G$11,2)</f>
        <v>0</v>
      </c>
      <c r="BV32" s="694">
        <f>BU21</f>
        <v>0</v>
      </c>
    </row>
    <row r="33" spans="1:74" ht="16" thickBot="1">
      <c r="A33" s="692" t="s">
        <v>766</v>
      </c>
      <c r="B33" s="693">
        <f>ROUND(C33*$B$89,2)</f>
        <v>0</v>
      </c>
      <c r="C33" s="695">
        <f>ROUND(D33*'BKFC Inputs'!$G$11,2)</f>
        <v>0</v>
      </c>
      <c r="D33" s="695">
        <f>ROUND(D32*B24,2)</f>
        <v>0</v>
      </c>
      <c r="E33" s="668"/>
      <c r="F33" s="692" t="s">
        <v>766</v>
      </c>
      <c r="G33" s="693">
        <f>ROUND(H33*$B$89,2)</f>
        <v>234.95</v>
      </c>
      <c r="H33" s="695">
        <f>ROUND(I33*'BKFC Inputs'!$G$11,2)</f>
        <v>499.9</v>
      </c>
      <c r="I33" s="695">
        <f>ROUND(I32*G24,2)</f>
        <v>999.8</v>
      </c>
      <c r="J33" s="668"/>
      <c r="K33" s="692" t="s">
        <v>766</v>
      </c>
      <c r="L33" s="693">
        <f>ROUND(M33*$B$89,2)</f>
        <v>0</v>
      </c>
      <c r="M33" s="695">
        <f>ROUND(N33*'BKFC Inputs'!$G$11,2)</f>
        <v>0</v>
      </c>
      <c r="N33" s="695">
        <f>ROUND(N32*L24,2)</f>
        <v>0</v>
      </c>
      <c r="O33" s="668"/>
      <c r="P33" s="692" t="s">
        <v>766</v>
      </c>
      <c r="Q33" s="693">
        <f>ROUND(R33*$B$89,2)</f>
        <v>0</v>
      </c>
      <c r="R33" s="695">
        <f>ROUND(S33*'BKFC Inputs'!$G$11,2)</f>
        <v>0</v>
      </c>
      <c r="S33" s="695">
        <f>ROUND(S32*Q24,2)</f>
        <v>0</v>
      </c>
      <c r="U33" s="692" t="s">
        <v>766</v>
      </c>
      <c r="V33" s="693">
        <f>ROUND(W33*$B$89,2)</f>
        <v>258.45</v>
      </c>
      <c r="W33" s="695">
        <f>ROUND(X33*'BKFC Inputs'!$G$11,2)</f>
        <v>549.9</v>
      </c>
      <c r="X33" s="695">
        <f>ROUND(X32*V24,2)</f>
        <v>1099.8</v>
      </c>
      <c r="Z33" s="692" t="s">
        <v>766</v>
      </c>
      <c r="AA33" s="693">
        <f>ROUND(AB33*$B$89,2)</f>
        <v>0</v>
      </c>
      <c r="AB33" s="695">
        <f>ROUND(AC33*'BKFC Inputs'!$G$11,2)</f>
        <v>0</v>
      </c>
      <c r="AC33" s="695">
        <f>ROUND(AC32*AA24,2)</f>
        <v>0</v>
      </c>
      <c r="AE33" s="692" t="s">
        <v>766</v>
      </c>
      <c r="AF33" s="693">
        <f>ROUND(AG33*$B$89,2)</f>
        <v>0</v>
      </c>
      <c r="AG33" s="695">
        <f>ROUND(AH33*'BKFC Inputs'!$G$11,2)</f>
        <v>0</v>
      </c>
      <c r="AH33" s="695">
        <f>ROUND(AH32*AF24,2)</f>
        <v>0</v>
      </c>
      <c r="AJ33" s="692" t="s">
        <v>766</v>
      </c>
      <c r="AK33" s="693">
        <f>ROUND(AL33*$B$89,2)</f>
        <v>281.95</v>
      </c>
      <c r="AL33" s="695">
        <f>ROUND(AM33*'BKFC Inputs'!$G$11,2)</f>
        <v>599.9</v>
      </c>
      <c r="AM33" s="695">
        <f>ROUND(AM32*AK24,2)</f>
        <v>1199.8</v>
      </c>
      <c r="AO33" s="692" t="s">
        <v>766</v>
      </c>
      <c r="AP33" s="693">
        <f>ROUND(AQ33*$B$89,2)</f>
        <v>0</v>
      </c>
      <c r="AQ33" s="695">
        <f>ROUND(AR33*'BKFC Inputs'!$G$11,2)</f>
        <v>0</v>
      </c>
      <c r="AR33" s="695">
        <f>ROUND(AR32*AP24,2)</f>
        <v>0</v>
      </c>
      <c r="AT33" s="692" t="s">
        <v>766</v>
      </c>
      <c r="AU33" s="693">
        <f>ROUND(AV33*$B$89,2)</f>
        <v>0</v>
      </c>
      <c r="AV33" s="695">
        <f>ROUND(AW33*'BKFC Inputs'!$G$11,2)</f>
        <v>0</v>
      </c>
      <c r="AW33" s="695">
        <f>ROUND(AW32*AU24,2)</f>
        <v>0</v>
      </c>
      <c r="AY33" s="692" t="s">
        <v>766</v>
      </c>
      <c r="AZ33" s="693">
        <f>ROUND(BA33*$B$89,2)</f>
        <v>281.95</v>
      </c>
      <c r="BA33" s="695">
        <f>ROUND(BB33*'BKFC Inputs'!$G$11,2)</f>
        <v>599.9</v>
      </c>
      <c r="BB33" s="695">
        <f>ROUND(BB32*AZ24,2)</f>
        <v>1199.8</v>
      </c>
      <c r="BD33" s="692" t="s">
        <v>766</v>
      </c>
      <c r="BE33" s="693">
        <f>ROUND(BF33*$B$89,2)</f>
        <v>0</v>
      </c>
      <c r="BF33" s="695">
        <f>ROUND(BG33*'BKFC Inputs'!$G$11,2)</f>
        <v>0</v>
      </c>
      <c r="BG33" s="695">
        <f>ROUND(BG32*BE24,2)</f>
        <v>0</v>
      </c>
      <c r="BI33" s="692" t="s">
        <v>766</v>
      </c>
      <c r="BJ33" s="693">
        <f>ROUND(BK33*$B$89,2)</f>
        <v>0</v>
      </c>
      <c r="BK33" s="695">
        <f>ROUND(BL33*'BKFC Inputs'!$G$11,2)</f>
        <v>0</v>
      </c>
      <c r="BL33" s="695">
        <f>ROUND(BL32*BJ24,2)</f>
        <v>0</v>
      </c>
      <c r="BN33" s="692" t="s">
        <v>766</v>
      </c>
      <c r="BO33" s="693">
        <f>ROUND(BP33*$B$89,2)</f>
        <v>281.95</v>
      </c>
      <c r="BP33" s="695">
        <f>ROUND(BQ33*'BKFC Inputs'!$G$11,2)</f>
        <v>599.9</v>
      </c>
      <c r="BQ33" s="695">
        <f>ROUND(BQ32*BO24,2)</f>
        <v>1199.8</v>
      </c>
      <c r="BS33" s="692" t="s">
        <v>766</v>
      </c>
      <c r="BT33" s="693">
        <f>ROUND(BU33*$B$89,2)</f>
        <v>0</v>
      </c>
      <c r="BU33" s="695">
        <f>ROUND(BV33*'BKFC Inputs'!$G$11,2)</f>
        <v>0</v>
      </c>
      <c r="BV33" s="695">
        <f>ROUND(BV32*BT24,2)</f>
        <v>0</v>
      </c>
    </row>
    <row r="34" spans="1:74" ht="16" thickBot="1">
      <c r="A34" s="692" t="s">
        <v>767</v>
      </c>
      <c r="B34" s="693">
        <f>ROUND(B33*$B23,2)</f>
        <v>0</v>
      </c>
      <c r="C34" s="695">
        <f>ROUND(C33*B23,2)</f>
        <v>0</v>
      </c>
      <c r="D34" s="695">
        <f>ROUND(D33*B23,2)</f>
        <v>0</v>
      </c>
      <c r="E34" s="668"/>
      <c r="F34" s="692" t="s">
        <v>767</v>
      </c>
      <c r="G34" s="693">
        <f>ROUND(G33*$B23,2)</f>
        <v>0</v>
      </c>
      <c r="H34" s="695">
        <f>ROUND(H33*G23,2)</f>
        <v>999800</v>
      </c>
      <c r="I34" s="695">
        <f>ROUND(I33*G23,2)</f>
        <v>1999600</v>
      </c>
      <c r="J34" s="668"/>
      <c r="K34" s="692" t="s">
        <v>767</v>
      </c>
      <c r="L34" s="693">
        <f>ROUND(L33*$B23,2)</f>
        <v>0</v>
      </c>
      <c r="M34" s="695">
        <f>ROUND(M33*L23,2)</f>
        <v>0</v>
      </c>
      <c r="N34" s="695">
        <f>ROUND(N33*L23,2)</f>
        <v>0</v>
      </c>
      <c r="O34" s="668"/>
      <c r="P34" s="692" t="s">
        <v>767</v>
      </c>
      <c r="Q34" s="693">
        <f>ROUND(Q33*$B23,2)</f>
        <v>0</v>
      </c>
      <c r="R34" s="695">
        <f>ROUND(R33*Q23,2)</f>
        <v>0</v>
      </c>
      <c r="S34" s="695">
        <f>ROUND(S33*Q23,2)</f>
        <v>0</v>
      </c>
      <c r="U34" s="692" t="s">
        <v>767</v>
      </c>
      <c r="V34" s="693">
        <f>ROUND(V33*$B23,2)</f>
        <v>0</v>
      </c>
      <c r="W34" s="695">
        <f>ROUND(W33*V23,2)</f>
        <v>1374750</v>
      </c>
      <c r="X34" s="695">
        <f>ROUND(X33*V23,2)</f>
        <v>2749500</v>
      </c>
      <c r="Z34" s="692" t="s">
        <v>767</v>
      </c>
      <c r="AA34" s="693">
        <f>ROUND(AA33*$B23,2)</f>
        <v>0</v>
      </c>
      <c r="AB34" s="695">
        <f>ROUND(AB33*AA23,2)</f>
        <v>0</v>
      </c>
      <c r="AC34" s="695">
        <f>ROUND(AC33*AA23,2)</f>
        <v>0</v>
      </c>
      <c r="AE34" s="692" t="s">
        <v>767</v>
      </c>
      <c r="AF34" s="693">
        <f>ROUND(AF33*$B23,2)</f>
        <v>0</v>
      </c>
      <c r="AG34" s="695">
        <f>ROUND(AG33*AF23,2)</f>
        <v>0</v>
      </c>
      <c r="AH34" s="695">
        <f>ROUND(AH33*AF23,2)</f>
        <v>0</v>
      </c>
      <c r="AJ34" s="692" t="s">
        <v>767</v>
      </c>
      <c r="AK34" s="693">
        <f>ROUND(AK33*$B23,2)</f>
        <v>0</v>
      </c>
      <c r="AL34" s="695">
        <f>ROUND(AL33*AK23,2)</f>
        <v>2399600</v>
      </c>
      <c r="AM34" s="695">
        <f>ROUND(AM33*AK23,2)</f>
        <v>4799200</v>
      </c>
      <c r="AO34" s="692" t="s">
        <v>767</v>
      </c>
      <c r="AP34" s="693">
        <f>ROUND(AP33*$B23,2)</f>
        <v>0</v>
      </c>
      <c r="AQ34" s="695">
        <f>ROUND(AQ33*AP23,2)</f>
        <v>0</v>
      </c>
      <c r="AR34" s="695">
        <f>ROUND(AR33*AP23,2)</f>
        <v>0</v>
      </c>
      <c r="AT34" s="692" t="s">
        <v>767</v>
      </c>
      <c r="AU34" s="693">
        <f>ROUND(AU33*$B23,2)</f>
        <v>0</v>
      </c>
      <c r="AV34" s="695">
        <f>ROUND(AV33*AU23,2)</f>
        <v>0</v>
      </c>
      <c r="AW34" s="695">
        <f>ROUND(AW33*AU23,2)</f>
        <v>0</v>
      </c>
      <c r="AY34" s="692" t="s">
        <v>767</v>
      </c>
      <c r="AZ34" s="693">
        <f>ROUND(AZ33*$B23,2)</f>
        <v>0</v>
      </c>
      <c r="BA34" s="695">
        <f>ROUND(BA33*AZ23,2)</f>
        <v>2999500</v>
      </c>
      <c r="BB34" s="695">
        <f>ROUND(BB33*AZ23,2)</f>
        <v>5999000</v>
      </c>
      <c r="BD34" s="692" t="s">
        <v>767</v>
      </c>
      <c r="BE34" s="693">
        <f>ROUND(BE33*$B23,2)</f>
        <v>0</v>
      </c>
      <c r="BF34" s="695">
        <f>ROUND(BF33*BE23,2)</f>
        <v>0</v>
      </c>
      <c r="BG34" s="695">
        <f>ROUND(BG33*BE23,2)</f>
        <v>0</v>
      </c>
      <c r="BI34" s="692" t="s">
        <v>767</v>
      </c>
      <c r="BJ34" s="693">
        <f>ROUND(BJ33*$B23,2)</f>
        <v>0</v>
      </c>
      <c r="BK34" s="695">
        <f>ROUND(BK33*BJ23,2)</f>
        <v>0</v>
      </c>
      <c r="BL34" s="695">
        <f>ROUND(BL33*BJ23,2)</f>
        <v>0</v>
      </c>
      <c r="BN34" s="692" t="s">
        <v>767</v>
      </c>
      <c r="BO34" s="693">
        <f>ROUND(BO33*$B23,2)</f>
        <v>0</v>
      </c>
      <c r="BP34" s="695">
        <f>ROUND(BP33*BO23,2)</f>
        <v>3599400</v>
      </c>
      <c r="BQ34" s="695">
        <f>ROUND(BQ33*BO23,2)</f>
        <v>7198800</v>
      </c>
      <c r="BS34" s="692" t="s">
        <v>767</v>
      </c>
      <c r="BT34" s="693">
        <f>ROUND(BT33*$B23,2)</f>
        <v>0</v>
      </c>
      <c r="BU34" s="695">
        <f>ROUND(BU33*BT23,2)</f>
        <v>0</v>
      </c>
      <c r="BV34" s="695">
        <f>ROUND(BV33*BT23,2)</f>
        <v>0</v>
      </c>
    </row>
    <row r="35" spans="1:74" ht="16" thickBot="1">
      <c r="A35" s="668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  <c r="Q35" s="668"/>
      <c r="R35" s="668"/>
      <c r="S35" s="668"/>
      <c r="T35" s="551"/>
      <c r="U35" s="668"/>
      <c r="V35" s="668"/>
      <c r="W35" s="668"/>
      <c r="X35" s="668"/>
      <c r="Z35" s="668"/>
      <c r="AA35" s="668"/>
      <c r="AB35" s="668"/>
      <c r="AC35" s="668"/>
      <c r="AE35" s="668"/>
      <c r="AF35" s="668"/>
      <c r="AG35" s="668"/>
      <c r="AH35" s="668"/>
      <c r="AJ35" s="668"/>
      <c r="AK35" s="668"/>
      <c r="AL35" s="668"/>
      <c r="AM35" s="668"/>
      <c r="AO35" s="668"/>
      <c r="AP35" s="668"/>
      <c r="AQ35" s="668"/>
      <c r="AR35" s="668"/>
      <c r="AT35" s="668"/>
      <c r="AU35" s="668"/>
      <c r="AV35" s="668"/>
      <c r="AW35" s="668"/>
      <c r="AY35" s="668"/>
      <c r="AZ35" s="668"/>
      <c r="BA35" s="668"/>
      <c r="BB35" s="668"/>
      <c r="BD35" s="668"/>
      <c r="BE35" s="668"/>
      <c r="BF35" s="668"/>
      <c r="BG35" s="668"/>
      <c r="BI35" s="668"/>
      <c r="BJ35" s="668"/>
      <c r="BK35" s="668"/>
      <c r="BL35" s="668"/>
      <c r="BN35" s="668"/>
      <c r="BO35" s="668"/>
      <c r="BP35" s="668"/>
      <c r="BQ35" s="668"/>
      <c r="BS35" s="668"/>
      <c r="BT35" s="668"/>
      <c r="BU35" s="668"/>
      <c r="BV35" s="668"/>
    </row>
    <row r="36" spans="1:74" ht="16" thickBot="1">
      <c r="A36" s="668"/>
      <c r="B36" s="668"/>
      <c r="C36" s="674" t="s">
        <v>754</v>
      </c>
      <c r="D36" s="675" t="s">
        <v>755</v>
      </c>
      <c r="E36" s="668"/>
      <c r="F36" s="668"/>
      <c r="G36" s="668"/>
      <c r="H36" s="674" t="s">
        <v>754</v>
      </c>
      <c r="I36" s="675" t="s">
        <v>755</v>
      </c>
      <c r="J36" s="668"/>
      <c r="K36" s="668"/>
      <c r="L36" s="668"/>
      <c r="M36" s="674" t="s">
        <v>754</v>
      </c>
      <c r="N36" s="675" t="s">
        <v>755</v>
      </c>
      <c r="O36" s="668"/>
      <c r="P36" s="668"/>
      <c r="Q36" s="668"/>
      <c r="R36" s="674" t="s">
        <v>754</v>
      </c>
      <c r="S36" s="675" t="s">
        <v>755</v>
      </c>
      <c r="T36" s="551"/>
      <c r="U36" s="668"/>
      <c r="V36" s="668"/>
      <c r="W36" s="674" t="s">
        <v>754</v>
      </c>
      <c r="X36" s="675" t="s">
        <v>755</v>
      </c>
      <c r="Z36" s="668"/>
      <c r="AA36" s="668"/>
      <c r="AB36" s="674" t="s">
        <v>754</v>
      </c>
      <c r="AC36" s="675" t="s">
        <v>755</v>
      </c>
      <c r="AE36" s="668"/>
      <c r="AF36" s="668"/>
      <c r="AG36" s="674" t="s">
        <v>754</v>
      </c>
      <c r="AH36" s="675" t="s">
        <v>755</v>
      </c>
      <c r="AJ36" s="668"/>
      <c r="AK36" s="668"/>
      <c r="AL36" s="674" t="s">
        <v>754</v>
      </c>
      <c r="AM36" s="675" t="s">
        <v>755</v>
      </c>
      <c r="AO36" s="668"/>
      <c r="AP36" s="668"/>
      <c r="AQ36" s="674" t="s">
        <v>754</v>
      </c>
      <c r="AR36" s="675" t="s">
        <v>755</v>
      </c>
      <c r="AT36" s="668"/>
      <c r="AU36" s="668"/>
      <c r="AV36" s="674" t="s">
        <v>754</v>
      </c>
      <c r="AW36" s="675" t="s">
        <v>755</v>
      </c>
      <c r="AY36" s="668"/>
      <c r="AZ36" s="668"/>
      <c r="BA36" s="674" t="s">
        <v>754</v>
      </c>
      <c r="BB36" s="675" t="s">
        <v>755</v>
      </c>
      <c r="BD36" s="668"/>
      <c r="BE36" s="668"/>
      <c r="BF36" s="674" t="s">
        <v>754</v>
      </c>
      <c r="BG36" s="675" t="s">
        <v>755</v>
      </c>
      <c r="BI36" s="668"/>
      <c r="BJ36" s="668"/>
      <c r="BK36" s="674" t="s">
        <v>754</v>
      </c>
      <c r="BL36" s="675" t="s">
        <v>755</v>
      </c>
      <c r="BN36" s="668"/>
      <c r="BO36" s="668"/>
      <c r="BP36" s="674" t="s">
        <v>754</v>
      </c>
      <c r="BQ36" s="675" t="s">
        <v>755</v>
      </c>
      <c r="BS36" s="668"/>
      <c r="BT36" s="668"/>
      <c r="BU36" s="674" t="s">
        <v>754</v>
      </c>
      <c r="BV36" s="675" t="s">
        <v>755</v>
      </c>
    </row>
    <row r="37" spans="1:74" s="677" customFormat="1" ht="16">
      <c r="A37" s="676" t="s">
        <v>768</v>
      </c>
      <c r="B37" s="1172" t="s">
        <v>18</v>
      </c>
      <c r="C37" s="1176">
        <f>'BKFC Inputs'!E25</f>
        <v>24.99</v>
      </c>
      <c r="D37" s="1178">
        <f>C37*B40</f>
        <v>499.79999999999995</v>
      </c>
      <c r="E37" s="1179"/>
      <c r="F37" s="676" t="s">
        <v>768</v>
      </c>
      <c r="G37" s="1172" t="s">
        <v>18</v>
      </c>
      <c r="H37" s="1176">
        <f>'BKFC Inputs'!E38</f>
        <v>29.99</v>
      </c>
      <c r="I37" s="1178">
        <f>H37*G40</f>
        <v>599.79999999999995</v>
      </c>
      <c r="J37" s="1179"/>
      <c r="K37" s="676" t="s">
        <v>768</v>
      </c>
      <c r="L37" s="1172" t="s">
        <v>18</v>
      </c>
      <c r="M37" s="1176">
        <f>'BKFC Inputs'!E51</f>
        <v>0</v>
      </c>
      <c r="N37" s="1178">
        <f>M37*L40</f>
        <v>0</v>
      </c>
      <c r="O37" s="1180"/>
      <c r="P37" s="676" t="s">
        <v>768</v>
      </c>
      <c r="Q37" s="1172" t="s">
        <v>18</v>
      </c>
      <c r="R37" s="1176">
        <f>'BKFC Inputs'!E64</f>
        <v>26.99</v>
      </c>
      <c r="S37" s="1178">
        <f>R37*Q40</f>
        <v>539.79999999999995</v>
      </c>
      <c r="T37" s="569"/>
      <c r="U37" s="676" t="s">
        <v>768</v>
      </c>
      <c r="V37" s="1172" t="s">
        <v>18</v>
      </c>
      <c r="W37" s="1176">
        <f>'BKFC Inputs'!E77</f>
        <v>32.99</v>
      </c>
      <c r="X37" s="1178">
        <f>W37*V40</f>
        <v>659.80000000000007</v>
      </c>
      <c r="Z37" s="676" t="s">
        <v>768</v>
      </c>
      <c r="AA37" s="1172" t="s">
        <v>18</v>
      </c>
      <c r="AB37" s="1176">
        <f>'BKFC Inputs'!E90</f>
        <v>0</v>
      </c>
      <c r="AC37" s="1178">
        <f>AB37*AA40</f>
        <v>0</v>
      </c>
      <c r="AE37" s="676" t="s">
        <v>768</v>
      </c>
      <c r="AF37" s="1172" t="s">
        <v>18</v>
      </c>
      <c r="AG37" s="1176">
        <f>'BKFC Inputs'!E103</f>
        <v>28.99</v>
      </c>
      <c r="AH37" s="1178">
        <f>AG37*AF40</f>
        <v>579.79999999999995</v>
      </c>
      <c r="AJ37" s="676" t="s">
        <v>768</v>
      </c>
      <c r="AK37" s="1172" t="s">
        <v>18</v>
      </c>
      <c r="AL37" s="1176">
        <f>'BKFC Inputs'!E116</f>
        <v>34.99</v>
      </c>
      <c r="AM37" s="1178">
        <f>AL37*AK40</f>
        <v>699.80000000000007</v>
      </c>
      <c r="AO37" s="676" t="s">
        <v>768</v>
      </c>
      <c r="AP37" s="1172" t="s">
        <v>18</v>
      </c>
      <c r="AQ37" s="1176">
        <f>'BKFC Inputs'!E129</f>
        <v>0</v>
      </c>
      <c r="AR37" s="1178">
        <f>AQ37*AP40</f>
        <v>0</v>
      </c>
      <c r="AT37" s="676" t="s">
        <v>768</v>
      </c>
      <c r="AU37" s="1172" t="s">
        <v>18</v>
      </c>
      <c r="AV37" s="1176">
        <f>'BKFC Inputs'!E142</f>
        <v>28.99</v>
      </c>
      <c r="AW37" s="1178">
        <f>AV37*AU40</f>
        <v>579.79999999999995</v>
      </c>
      <c r="AY37" s="676" t="s">
        <v>768</v>
      </c>
      <c r="AZ37" s="1172" t="s">
        <v>18</v>
      </c>
      <c r="BA37" s="1176">
        <f>'BKFC Inputs'!E155</f>
        <v>34.99</v>
      </c>
      <c r="BB37" s="1178">
        <f>BA37*AZ40</f>
        <v>699.80000000000007</v>
      </c>
      <c r="BD37" s="676" t="s">
        <v>768</v>
      </c>
      <c r="BE37" s="1172" t="s">
        <v>18</v>
      </c>
      <c r="BF37" s="1176">
        <f>'BKFC Inputs'!E168</f>
        <v>0</v>
      </c>
      <c r="BG37" s="1178">
        <f>BF37*BE40</f>
        <v>0</v>
      </c>
      <c r="BI37" s="676" t="s">
        <v>768</v>
      </c>
      <c r="BJ37" s="1172" t="s">
        <v>18</v>
      </c>
      <c r="BK37" s="1176">
        <f>'BKFC Inputs'!E181</f>
        <v>28.99</v>
      </c>
      <c r="BL37" s="1178">
        <f>BK37*BJ40</f>
        <v>579.79999999999995</v>
      </c>
      <c r="BN37" s="676" t="s">
        <v>768</v>
      </c>
      <c r="BO37" s="1172" t="s">
        <v>18</v>
      </c>
      <c r="BP37" s="1176">
        <f>'BKFC Inputs'!E194</f>
        <v>34.99</v>
      </c>
      <c r="BQ37" s="1178">
        <f>BP37*BO40</f>
        <v>699.80000000000007</v>
      </c>
      <c r="BS37" s="676" t="s">
        <v>768</v>
      </c>
      <c r="BT37" s="1172" t="s">
        <v>18</v>
      </c>
      <c r="BU37" s="1176">
        <f>'BKFC Inputs'!E207</f>
        <v>0</v>
      </c>
      <c r="BV37" s="1178">
        <f>BU37*BT40</f>
        <v>0</v>
      </c>
    </row>
    <row r="38" spans="1:74" s="677" customFormat="1" ht="16" thickBot="1">
      <c r="A38" s="678" t="s">
        <v>769</v>
      </c>
      <c r="B38" s="1173"/>
      <c r="C38" s="1177"/>
      <c r="D38" s="1175"/>
      <c r="E38" s="1179"/>
      <c r="F38" s="678" t="s">
        <v>769</v>
      </c>
      <c r="G38" s="1173"/>
      <c r="H38" s="1177"/>
      <c r="I38" s="1175"/>
      <c r="J38" s="1179"/>
      <c r="K38" s="678" t="s">
        <v>769</v>
      </c>
      <c r="L38" s="1173"/>
      <c r="M38" s="1177"/>
      <c r="N38" s="1175"/>
      <c r="O38" s="1180"/>
      <c r="P38" s="678" t="s">
        <v>769</v>
      </c>
      <c r="Q38" s="1173"/>
      <c r="R38" s="1177"/>
      <c r="S38" s="1175"/>
      <c r="T38" s="569"/>
      <c r="U38" s="678" t="s">
        <v>769</v>
      </c>
      <c r="V38" s="1173"/>
      <c r="W38" s="1177"/>
      <c r="X38" s="1175"/>
      <c r="Z38" s="678" t="s">
        <v>769</v>
      </c>
      <c r="AA38" s="1173"/>
      <c r="AB38" s="1177"/>
      <c r="AC38" s="1175"/>
      <c r="AE38" s="678" t="s">
        <v>769</v>
      </c>
      <c r="AF38" s="1173"/>
      <c r="AG38" s="1177"/>
      <c r="AH38" s="1175"/>
      <c r="AJ38" s="678" t="s">
        <v>769</v>
      </c>
      <c r="AK38" s="1173"/>
      <c r="AL38" s="1177"/>
      <c r="AM38" s="1175"/>
      <c r="AO38" s="678" t="s">
        <v>769</v>
      </c>
      <c r="AP38" s="1173"/>
      <c r="AQ38" s="1177"/>
      <c r="AR38" s="1175"/>
      <c r="AT38" s="678" t="s">
        <v>769</v>
      </c>
      <c r="AU38" s="1173"/>
      <c r="AV38" s="1177"/>
      <c r="AW38" s="1175"/>
      <c r="AY38" s="678" t="s">
        <v>769</v>
      </c>
      <c r="AZ38" s="1173"/>
      <c r="BA38" s="1177"/>
      <c r="BB38" s="1175"/>
      <c r="BD38" s="678" t="s">
        <v>769</v>
      </c>
      <c r="BE38" s="1173"/>
      <c r="BF38" s="1177"/>
      <c r="BG38" s="1175"/>
      <c r="BI38" s="678" t="s">
        <v>769</v>
      </c>
      <c r="BJ38" s="1173"/>
      <c r="BK38" s="1177"/>
      <c r="BL38" s="1175"/>
      <c r="BN38" s="678" t="s">
        <v>769</v>
      </c>
      <c r="BO38" s="1173"/>
      <c r="BP38" s="1177"/>
      <c r="BQ38" s="1175"/>
      <c r="BS38" s="678" t="s">
        <v>769</v>
      </c>
      <c r="BT38" s="1173"/>
      <c r="BU38" s="1177"/>
      <c r="BV38" s="1175"/>
    </row>
    <row r="39" spans="1:74" ht="16" thickBot="1">
      <c r="A39" s="679" t="s">
        <v>758</v>
      </c>
      <c r="B39" s="680">
        <f>'BKFC Inputs'!G25</f>
        <v>1600</v>
      </c>
      <c r="C39" s="681"/>
      <c r="D39" s="681"/>
      <c r="E39" s="668"/>
      <c r="F39" s="679" t="s">
        <v>758</v>
      </c>
      <c r="G39" s="680">
        <f>'BKFC Inputs'!G38</f>
        <v>2000</v>
      </c>
      <c r="H39" s="681"/>
      <c r="I39" s="681"/>
      <c r="J39" s="668"/>
      <c r="K39" s="679" t="s">
        <v>758</v>
      </c>
      <c r="L39" s="680">
        <f>'BKFC Inputs'!G51</f>
        <v>0</v>
      </c>
      <c r="M39" s="681"/>
      <c r="N39" s="681"/>
      <c r="O39" s="668"/>
      <c r="P39" s="679" t="s">
        <v>758</v>
      </c>
      <c r="Q39" s="680">
        <f>'BKFC Inputs'!G64</f>
        <v>2000</v>
      </c>
      <c r="R39" s="681"/>
      <c r="S39" s="681"/>
      <c r="T39" s="551"/>
      <c r="U39" s="679" t="s">
        <v>758</v>
      </c>
      <c r="V39" s="680">
        <f>'BKFC Inputs'!G77</f>
        <v>2500</v>
      </c>
      <c r="W39" s="681"/>
      <c r="X39" s="681"/>
      <c r="Z39" s="679" t="s">
        <v>758</v>
      </c>
      <c r="AA39" s="680">
        <f>'BKFC Inputs'!G90</f>
        <v>0</v>
      </c>
      <c r="AB39" s="681"/>
      <c r="AC39" s="681"/>
      <c r="AE39" s="679" t="s">
        <v>758</v>
      </c>
      <c r="AF39" s="680">
        <f>'BKFC Inputs'!G103</f>
        <v>3000</v>
      </c>
      <c r="AG39" s="681"/>
      <c r="AH39" s="681"/>
      <c r="AJ39" s="679" t="s">
        <v>758</v>
      </c>
      <c r="AK39" s="680">
        <f>'BKFC Inputs'!G116</f>
        <v>4000</v>
      </c>
      <c r="AL39" s="681"/>
      <c r="AM39" s="681"/>
      <c r="AO39" s="679" t="s">
        <v>758</v>
      </c>
      <c r="AP39" s="680">
        <f>'BKFC Inputs'!G129</f>
        <v>0</v>
      </c>
      <c r="AQ39" s="681"/>
      <c r="AR39" s="681"/>
      <c r="AT39" s="679" t="s">
        <v>758</v>
      </c>
      <c r="AU39" s="680">
        <f>'BKFC Inputs'!G142</f>
        <v>3500</v>
      </c>
      <c r="AV39" s="681"/>
      <c r="AW39" s="681"/>
      <c r="AY39" s="679" t="s">
        <v>758</v>
      </c>
      <c r="AZ39" s="680">
        <f>'BKFC Inputs'!G155</f>
        <v>5000</v>
      </c>
      <c r="BA39" s="681"/>
      <c r="BB39" s="681"/>
      <c r="BD39" s="679" t="s">
        <v>758</v>
      </c>
      <c r="BE39" s="680">
        <f>'BKFC Inputs'!G168</f>
        <v>0</v>
      </c>
      <c r="BF39" s="681"/>
      <c r="BG39" s="681"/>
      <c r="BI39" s="679" t="s">
        <v>758</v>
      </c>
      <c r="BJ39" s="680">
        <f>'BKFC Inputs'!G181</f>
        <v>4000</v>
      </c>
      <c r="BK39" s="681"/>
      <c r="BL39" s="681"/>
      <c r="BN39" s="679" t="s">
        <v>758</v>
      </c>
      <c r="BO39" s="680">
        <f>'BKFC Inputs'!G194</f>
        <v>6000</v>
      </c>
      <c r="BP39" s="681"/>
      <c r="BQ39" s="681"/>
      <c r="BS39" s="679" t="s">
        <v>758</v>
      </c>
      <c r="BT39" s="680">
        <f>'BKFC Inputs'!G207</f>
        <v>0</v>
      </c>
      <c r="BU39" s="681"/>
      <c r="BV39" s="681"/>
    </row>
    <row r="40" spans="1:74" ht="17" thickBot="1">
      <c r="A40" s="682" t="s">
        <v>188</v>
      </c>
      <c r="B40" s="681">
        <f>'BKFC Inputs'!I25</f>
        <v>20</v>
      </c>
      <c r="C40" s="681"/>
      <c r="D40" s="683"/>
      <c r="E40" s="668"/>
      <c r="F40" s="682" t="s">
        <v>188</v>
      </c>
      <c r="G40" s="681">
        <f>'BKFC Inputs'!I38</f>
        <v>20</v>
      </c>
      <c r="H40" s="681"/>
      <c r="I40" s="683"/>
      <c r="J40" s="668"/>
      <c r="K40" s="682" t="s">
        <v>188</v>
      </c>
      <c r="L40" s="681">
        <f>'BKFC Inputs'!I51</f>
        <v>0</v>
      </c>
      <c r="M40" s="681"/>
      <c r="N40" s="683"/>
      <c r="O40" s="668"/>
      <c r="P40" s="682" t="s">
        <v>188</v>
      </c>
      <c r="Q40" s="681">
        <f>'BKFC Inputs'!I64</f>
        <v>20</v>
      </c>
      <c r="R40" s="681"/>
      <c r="S40" s="683"/>
      <c r="T40" s="551"/>
      <c r="U40" s="682" t="s">
        <v>188</v>
      </c>
      <c r="V40" s="681">
        <f>'BKFC Inputs'!I77</f>
        <v>20</v>
      </c>
      <c r="W40" s="681"/>
      <c r="X40" s="683"/>
      <c r="Z40" s="682" t="s">
        <v>188</v>
      </c>
      <c r="AA40" s="681">
        <f>'BKFC Inputs'!I90</f>
        <v>0</v>
      </c>
      <c r="AB40" s="681"/>
      <c r="AC40" s="683"/>
      <c r="AE40" s="682" t="s">
        <v>188</v>
      </c>
      <c r="AF40" s="681">
        <f>'BKFC Inputs'!I103</f>
        <v>20</v>
      </c>
      <c r="AG40" s="681"/>
      <c r="AH40" s="683"/>
      <c r="AJ40" s="682" t="s">
        <v>188</v>
      </c>
      <c r="AK40" s="681">
        <f>'BKFC Inputs'!I116</f>
        <v>20</v>
      </c>
      <c r="AL40" s="681"/>
      <c r="AM40" s="683"/>
      <c r="AO40" s="682" t="s">
        <v>188</v>
      </c>
      <c r="AP40" s="681">
        <f>'BKFC Inputs'!I129</f>
        <v>0</v>
      </c>
      <c r="AQ40" s="681"/>
      <c r="AR40" s="683"/>
      <c r="AT40" s="682" t="s">
        <v>188</v>
      </c>
      <c r="AU40" s="681">
        <f>'BKFC Inputs'!I142</f>
        <v>20</v>
      </c>
      <c r="AV40" s="681"/>
      <c r="AW40" s="683"/>
      <c r="AY40" s="682" t="s">
        <v>188</v>
      </c>
      <c r="AZ40" s="681">
        <f>'BKFC Inputs'!I155</f>
        <v>20</v>
      </c>
      <c r="BA40" s="681"/>
      <c r="BB40" s="683"/>
      <c r="BD40" s="682" t="s">
        <v>188</v>
      </c>
      <c r="BE40" s="681">
        <f>'BKFC Inputs'!I168</f>
        <v>0</v>
      </c>
      <c r="BF40" s="681"/>
      <c r="BG40" s="683"/>
      <c r="BI40" s="682" t="s">
        <v>188</v>
      </c>
      <c r="BJ40" s="681">
        <f>'BKFC Inputs'!I181</f>
        <v>20</v>
      </c>
      <c r="BK40" s="681"/>
      <c r="BL40" s="683"/>
      <c r="BN40" s="682" t="s">
        <v>188</v>
      </c>
      <c r="BO40" s="681">
        <f>'BKFC Inputs'!I194</f>
        <v>20</v>
      </c>
      <c r="BP40" s="681"/>
      <c r="BQ40" s="683"/>
      <c r="BS40" s="682" t="s">
        <v>188</v>
      </c>
      <c r="BT40" s="681">
        <f>'BKFC Inputs'!I207</f>
        <v>0</v>
      </c>
      <c r="BU40" s="681"/>
      <c r="BV40" s="683"/>
    </row>
    <row r="41" spans="1:74" ht="16" thickBot="1">
      <c r="A41" s="679" t="s">
        <v>759</v>
      </c>
      <c r="B41" s="680">
        <f>B39*B40</f>
        <v>32000</v>
      </c>
      <c r="C41" s="684"/>
      <c r="D41" s="685"/>
      <c r="E41" s="668"/>
      <c r="F41" s="679" t="s">
        <v>759</v>
      </c>
      <c r="G41" s="680">
        <f>G39*G40</f>
        <v>40000</v>
      </c>
      <c r="H41" s="684"/>
      <c r="I41" s="685"/>
      <c r="J41" s="668"/>
      <c r="K41" s="679" t="s">
        <v>759</v>
      </c>
      <c r="L41" s="680">
        <f>L39*L40</f>
        <v>0</v>
      </c>
      <c r="M41" s="684"/>
      <c r="N41" s="685"/>
      <c r="O41" s="668"/>
      <c r="P41" s="679" t="s">
        <v>759</v>
      </c>
      <c r="Q41" s="680">
        <f>Q39*Q40</f>
        <v>40000</v>
      </c>
      <c r="R41" s="684"/>
      <c r="S41" s="685"/>
      <c r="T41" s="551"/>
      <c r="U41" s="679" t="s">
        <v>759</v>
      </c>
      <c r="V41" s="680">
        <f>V39*V40</f>
        <v>50000</v>
      </c>
      <c r="W41" s="684"/>
      <c r="X41" s="685"/>
      <c r="Z41" s="679" t="s">
        <v>759</v>
      </c>
      <c r="AA41" s="680">
        <f>AA39*AA40</f>
        <v>0</v>
      </c>
      <c r="AB41" s="684"/>
      <c r="AC41" s="685"/>
      <c r="AE41" s="679" t="s">
        <v>759</v>
      </c>
      <c r="AF41" s="680">
        <f>AF39*AF40</f>
        <v>60000</v>
      </c>
      <c r="AG41" s="684"/>
      <c r="AH41" s="685"/>
      <c r="AJ41" s="679" t="s">
        <v>759</v>
      </c>
      <c r="AK41" s="680">
        <f>AK39*AK40</f>
        <v>80000</v>
      </c>
      <c r="AL41" s="684"/>
      <c r="AM41" s="685"/>
      <c r="AO41" s="679" t="s">
        <v>759</v>
      </c>
      <c r="AP41" s="680">
        <f>AP39*AP40</f>
        <v>0</v>
      </c>
      <c r="AQ41" s="684"/>
      <c r="AR41" s="685"/>
      <c r="AT41" s="679" t="s">
        <v>759</v>
      </c>
      <c r="AU41" s="680">
        <f>AU39*AU40</f>
        <v>70000</v>
      </c>
      <c r="AV41" s="684"/>
      <c r="AW41" s="685"/>
      <c r="AY41" s="679" t="s">
        <v>759</v>
      </c>
      <c r="AZ41" s="680">
        <f>AZ39*AZ40</f>
        <v>100000</v>
      </c>
      <c r="BA41" s="684"/>
      <c r="BB41" s="685"/>
      <c r="BD41" s="679" t="s">
        <v>759</v>
      </c>
      <c r="BE41" s="680">
        <f>BE39*BE40</f>
        <v>0</v>
      </c>
      <c r="BF41" s="684"/>
      <c r="BG41" s="685"/>
      <c r="BI41" s="679" t="s">
        <v>759</v>
      </c>
      <c r="BJ41" s="680">
        <f>BJ39*BJ40</f>
        <v>80000</v>
      </c>
      <c r="BK41" s="684"/>
      <c r="BL41" s="685"/>
      <c r="BN41" s="679" t="s">
        <v>759</v>
      </c>
      <c r="BO41" s="680">
        <f>BO39*BO40</f>
        <v>120000</v>
      </c>
      <c r="BP41" s="684"/>
      <c r="BQ41" s="685"/>
      <c r="BS41" s="679" t="s">
        <v>759</v>
      </c>
      <c r="BT41" s="680">
        <f>BT39*BT40</f>
        <v>0</v>
      </c>
      <c r="BU41" s="684"/>
      <c r="BV41" s="685"/>
    </row>
    <row r="42" spans="1:74" ht="16" thickBot="1">
      <c r="A42" s="679" t="s">
        <v>192</v>
      </c>
      <c r="B42" s="681">
        <f>'BKFC Inputs'!K25</f>
        <v>6</v>
      </c>
      <c r="C42" s="684"/>
      <c r="D42" s="686"/>
      <c r="E42" s="668"/>
      <c r="F42" s="679" t="s">
        <v>192</v>
      </c>
      <c r="G42" s="681">
        <f>'BKFC Inputs'!K38</f>
        <v>6</v>
      </c>
      <c r="H42" s="684"/>
      <c r="I42" s="686"/>
      <c r="J42" s="668"/>
      <c r="K42" s="679" t="s">
        <v>192</v>
      </c>
      <c r="L42" s="681">
        <f>'BKFC Inputs'!K51</f>
        <v>0</v>
      </c>
      <c r="M42" s="684"/>
      <c r="N42" s="686"/>
      <c r="O42" s="668"/>
      <c r="P42" s="679" t="s">
        <v>192</v>
      </c>
      <c r="Q42" s="681">
        <f>'BKFC Inputs'!K64</f>
        <v>4</v>
      </c>
      <c r="R42" s="684"/>
      <c r="S42" s="686"/>
      <c r="U42" s="679" t="s">
        <v>192</v>
      </c>
      <c r="V42" s="681">
        <f>'BKFC Inputs'!K77</f>
        <v>4</v>
      </c>
      <c r="W42" s="684"/>
      <c r="X42" s="686"/>
      <c r="Z42" s="679" t="s">
        <v>192</v>
      </c>
      <c r="AA42" s="681">
        <f>'BKFC Inputs'!K90</f>
        <v>0</v>
      </c>
      <c r="AB42" s="684"/>
      <c r="AC42" s="686"/>
      <c r="AE42" s="679" t="s">
        <v>192</v>
      </c>
      <c r="AF42" s="681">
        <f>'BKFC Inputs'!K103</f>
        <v>4</v>
      </c>
      <c r="AG42" s="684"/>
      <c r="AH42" s="686"/>
      <c r="AJ42" s="679" t="s">
        <v>192</v>
      </c>
      <c r="AK42" s="681">
        <f>'BKFC Inputs'!K116</f>
        <v>4</v>
      </c>
      <c r="AL42" s="684"/>
      <c r="AM42" s="686"/>
      <c r="AO42" s="679" t="s">
        <v>192</v>
      </c>
      <c r="AP42" s="681">
        <f>'BKFC Inputs'!K129</f>
        <v>0</v>
      </c>
      <c r="AQ42" s="684"/>
      <c r="AR42" s="686"/>
      <c r="AT42" s="679" t="s">
        <v>192</v>
      </c>
      <c r="AU42" s="681">
        <f>'BKFC Inputs'!K142</f>
        <v>4</v>
      </c>
      <c r="AV42" s="684"/>
      <c r="AW42" s="686"/>
      <c r="AY42" s="679" t="s">
        <v>192</v>
      </c>
      <c r="AZ42" s="681">
        <f>'BKFC Inputs'!K155</f>
        <v>4</v>
      </c>
      <c r="BA42" s="684"/>
      <c r="BB42" s="686"/>
      <c r="BD42" s="679" t="s">
        <v>192</v>
      </c>
      <c r="BE42" s="681">
        <f>'BKFC Inputs'!K169</f>
        <v>0</v>
      </c>
      <c r="BF42" s="684"/>
      <c r="BG42" s="686"/>
      <c r="BI42" s="679" t="s">
        <v>192</v>
      </c>
      <c r="BJ42" s="681">
        <f>'BKFC Inputs'!K181</f>
        <v>4</v>
      </c>
      <c r="BK42" s="684"/>
      <c r="BL42" s="686"/>
      <c r="BN42" s="679" t="s">
        <v>192</v>
      </c>
      <c r="BO42" s="681">
        <f>'BKFC Inputs'!K194</f>
        <v>4</v>
      </c>
      <c r="BP42" s="684"/>
      <c r="BQ42" s="686"/>
      <c r="BS42" s="679" t="s">
        <v>192</v>
      </c>
      <c r="BT42" s="681">
        <f>'BKFC Inputs'!K207</f>
        <v>0</v>
      </c>
      <c r="BU42" s="684"/>
      <c r="BV42" s="686"/>
    </row>
    <row r="43" spans="1:74" ht="16" thickBot="1">
      <c r="A43" s="687" t="s">
        <v>195</v>
      </c>
      <c r="B43" s="681">
        <f>'BKFC Inputs'!M25</f>
        <v>12</v>
      </c>
      <c r="C43" s="681"/>
      <c r="D43" s="681"/>
      <c r="E43" s="668"/>
      <c r="F43" s="687" t="s">
        <v>195</v>
      </c>
      <c r="G43" s="681">
        <f>'BKFC Inputs'!M38</f>
        <v>12</v>
      </c>
      <c r="H43" s="681"/>
      <c r="I43" s="681"/>
      <c r="J43" s="668"/>
      <c r="K43" s="687" t="s">
        <v>195</v>
      </c>
      <c r="L43" s="681">
        <f>'BKFC Inputs'!M51</f>
        <v>0</v>
      </c>
      <c r="M43" s="681"/>
      <c r="N43" s="681"/>
      <c r="O43" s="668"/>
      <c r="P43" s="687" t="s">
        <v>195</v>
      </c>
      <c r="Q43" s="681">
        <f>'BKFC Inputs'!M64</f>
        <v>10</v>
      </c>
      <c r="R43" s="681"/>
      <c r="S43" s="681"/>
      <c r="U43" s="687" t="s">
        <v>195</v>
      </c>
      <c r="V43" s="681">
        <f>'BKFC Inputs'!M77</f>
        <v>8</v>
      </c>
      <c r="W43" s="681"/>
      <c r="X43" s="681"/>
      <c r="Z43" s="687" t="s">
        <v>195</v>
      </c>
      <c r="AA43" s="681">
        <f>'BKFC Inputs'!M90</f>
        <v>0</v>
      </c>
      <c r="AB43" s="681"/>
      <c r="AC43" s="681"/>
      <c r="AE43" s="687" t="s">
        <v>195</v>
      </c>
      <c r="AF43" s="681">
        <f>'BKFC Inputs'!M103</f>
        <v>10</v>
      </c>
      <c r="AG43" s="681"/>
      <c r="AH43" s="681"/>
      <c r="AJ43" s="687" t="s">
        <v>195</v>
      </c>
      <c r="AK43" s="681">
        <f>'BKFC Inputs'!M116</f>
        <v>8</v>
      </c>
      <c r="AL43" s="681"/>
      <c r="AM43" s="681"/>
      <c r="AO43" s="687" t="s">
        <v>195</v>
      </c>
      <c r="AP43" s="681">
        <f>'BKFC Inputs'!M129</f>
        <v>0</v>
      </c>
      <c r="AQ43" s="681"/>
      <c r="AR43" s="681"/>
      <c r="AT43" s="687" t="s">
        <v>195</v>
      </c>
      <c r="AU43" s="681">
        <f>'BKFC Inputs'!M142</f>
        <v>10</v>
      </c>
      <c r="AV43" s="681"/>
      <c r="AW43" s="681"/>
      <c r="AY43" s="687" t="s">
        <v>195</v>
      </c>
      <c r="AZ43" s="681">
        <f>'BKFC Inputs'!M155</f>
        <v>8</v>
      </c>
      <c r="BA43" s="681"/>
      <c r="BB43" s="681"/>
      <c r="BD43" s="687" t="s">
        <v>195</v>
      </c>
      <c r="BE43" s="681">
        <f>'BKFC Inputs'!M168</f>
        <v>0</v>
      </c>
      <c r="BF43" s="681"/>
      <c r="BG43" s="681"/>
      <c r="BI43" s="687" t="s">
        <v>195</v>
      </c>
      <c r="BJ43" s="681">
        <f>'BKFC Inputs'!M181</f>
        <v>10</v>
      </c>
      <c r="BK43" s="681"/>
      <c r="BL43" s="681"/>
      <c r="BN43" s="687" t="s">
        <v>195</v>
      </c>
      <c r="BO43" s="681">
        <f>'BKFC Inputs'!M194</f>
        <v>8</v>
      </c>
      <c r="BP43" s="681"/>
      <c r="BQ43" s="681"/>
      <c r="BS43" s="687" t="s">
        <v>195</v>
      </c>
      <c r="BT43" s="681">
        <f>'BKFC Inputs'!M207</f>
        <v>0</v>
      </c>
      <c r="BU43" s="681"/>
      <c r="BV43" s="681"/>
    </row>
    <row r="44" spans="1:74" ht="16" thickBot="1">
      <c r="A44" s="679" t="s">
        <v>761</v>
      </c>
      <c r="B44" s="680">
        <f>B41*B42</f>
        <v>192000</v>
      </c>
      <c r="C44" s="681"/>
      <c r="D44" s="681"/>
      <c r="E44" s="668"/>
      <c r="F44" s="679" t="s">
        <v>761</v>
      </c>
      <c r="G44" s="680">
        <f>G41*G42</f>
        <v>240000</v>
      </c>
      <c r="H44" s="681"/>
      <c r="I44" s="681"/>
      <c r="J44" s="668"/>
      <c r="K44" s="679" t="s">
        <v>761</v>
      </c>
      <c r="L44" s="680">
        <f>L41*L42</f>
        <v>0</v>
      </c>
      <c r="M44" s="681"/>
      <c r="N44" s="681"/>
      <c r="O44" s="668"/>
      <c r="P44" s="679" t="s">
        <v>761</v>
      </c>
      <c r="Q44" s="680">
        <f>Q41*Q42</f>
        <v>160000</v>
      </c>
      <c r="R44" s="681"/>
      <c r="S44" s="681"/>
      <c r="U44" s="679" t="s">
        <v>761</v>
      </c>
      <c r="V44" s="680">
        <f>V41*V42</f>
        <v>200000</v>
      </c>
      <c r="W44" s="681"/>
      <c r="X44" s="681"/>
      <c r="Z44" s="679" t="s">
        <v>761</v>
      </c>
      <c r="AA44" s="680">
        <f>AA41*AA42</f>
        <v>0</v>
      </c>
      <c r="AB44" s="681"/>
      <c r="AC44" s="681"/>
      <c r="AE44" s="679" t="s">
        <v>761</v>
      </c>
      <c r="AF44" s="680">
        <f>AF41*AF42</f>
        <v>240000</v>
      </c>
      <c r="AG44" s="681"/>
      <c r="AH44" s="681"/>
      <c r="AJ44" s="679" t="s">
        <v>761</v>
      </c>
      <c r="AK44" s="680">
        <f>AK41*AK42</f>
        <v>320000</v>
      </c>
      <c r="AL44" s="681"/>
      <c r="AM44" s="681"/>
      <c r="AO44" s="679" t="s">
        <v>761</v>
      </c>
      <c r="AP44" s="680">
        <f>AP41*AP42</f>
        <v>0</v>
      </c>
      <c r="AQ44" s="681"/>
      <c r="AR44" s="681"/>
      <c r="AT44" s="679" t="s">
        <v>761</v>
      </c>
      <c r="AU44" s="680">
        <f>AU41*AU42</f>
        <v>280000</v>
      </c>
      <c r="AV44" s="681"/>
      <c r="AW44" s="681"/>
      <c r="AY44" s="679" t="s">
        <v>761</v>
      </c>
      <c r="AZ44" s="680">
        <f>AZ41*AZ42</f>
        <v>400000</v>
      </c>
      <c r="BA44" s="681"/>
      <c r="BB44" s="681"/>
      <c r="BD44" s="679" t="s">
        <v>761</v>
      </c>
      <c r="BE44" s="680">
        <f>BE41*BE42</f>
        <v>0</v>
      </c>
      <c r="BF44" s="681"/>
      <c r="BG44" s="681"/>
      <c r="BI44" s="679" t="s">
        <v>761</v>
      </c>
      <c r="BJ44" s="680">
        <f>BJ41*BJ42</f>
        <v>320000</v>
      </c>
      <c r="BK44" s="681"/>
      <c r="BL44" s="681"/>
      <c r="BN44" s="679" t="s">
        <v>761</v>
      </c>
      <c r="BO44" s="680">
        <f>BO41*BO42</f>
        <v>480000</v>
      </c>
      <c r="BP44" s="681"/>
      <c r="BQ44" s="681"/>
      <c r="BS44" s="679" t="s">
        <v>761</v>
      </c>
      <c r="BT44" s="680">
        <f>BT41*BT42</f>
        <v>0</v>
      </c>
      <c r="BU44" s="681"/>
      <c r="BV44" s="681"/>
    </row>
    <row r="45" spans="1:74" ht="16" thickBot="1">
      <c r="A45" s="679" t="s">
        <v>762</v>
      </c>
      <c r="B45" s="680">
        <f>B44*B43</f>
        <v>2304000</v>
      </c>
      <c r="C45" s="681"/>
      <c r="D45" s="681"/>
      <c r="E45" s="668"/>
      <c r="F45" s="679" t="s">
        <v>762</v>
      </c>
      <c r="G45" s="680">
        <f>G44*G43</f>
        <v>2880000</v>
      </c>
      <c r="H45" s="681"/>
      <c r="I45" s="681"/>
      <c r="J45" s="668"/>
      <c r="K45" s="679" t="s">
        <v>762</v>
      </c>
      <c r="L45" s="680">
        <f>L44*L43</f>
        <v>0</v>
      </c>
      <c r="M45" s="681"/>
      <c r="N45" s="681"/>
      <c r="O45" s="668"/>
      <c r="P45" s="679" t="s">
        <v>762</v>
      </c>
      <c r="Q45" s="680">
        <f>Q44*Q43</f>
        <v>1600000</v>
      </c>
      <c r="R45" s="681"/>
      <c r="S45" s="681"/>
      <c r="U45" s="679" t="s">
        <v>762</v>
      </c>
      <c r="V45" s="680">
        <f>V44*V43</f>
        <v>1600000</v>
      </c>
      <c r="W45" s="681"/>
      <c r="X45" s="681"/>
      <c r="Z45" s="679" t="s">
        <v>762</v>
      </c>
      <c r="AA45" s="680">
        <f>AA44*AA43</f>
        <v>0</v>
      </c>
      <c r="AB45" s="681"/>
      <c r="AC45" s="681"/>
      <c r="AE45" s="679" t="s">
        <v>762</v>
      </c>
      <c r="AF45" s="680">
        <f>AF44*AF43</f>
        <v>2400000</v>
      </c>
      <c r="AG45" s="681"/>
      <c r="AH45" s="681"/>
      <c r="AJ45" s="679" t="s">
        <v>762</v>
      </c>
      <c r="AK45" s="680">
        <f>AK44*AK43</f>
        <v>2560000</v>
      </c>
      <c r="AL45" s="681"/>
      <c r="AM45" s="681"/>
      <c r="AO45" s="679" t="s">
        <v>762</v>
      </c>
      <c r="AP45" s="680">
        <f>AP44*AP43</f>
        <v>0</v>
      </c>
      <c r="AQ45" s="681"/>
      <c r="AR45" s="681"/>
      <c r="AT45" s="679" t="s">
        <v>762</v>
      </c>
      <c r="AU45" s="680">
        <f>AU44*AU43</f>
        <v>2800000</v>
      </c>
      <c r="AV45" s="681"/>
      <c r="AW45" s="681"/>
      <c r="AY45" s="679" t="s">
        <v>762</v>
      </c>
      <c r="AZ45" s="680">
        <f>AZ44*AZ43</f>
        <v>3200000</v>
      </c>
      <c r="BA45" s="681"/>
      <c r="BB45" s="681"/>
      <c r="BD45" s="679" t="s">
        <v>762</v>
      </c>
      <c r="BE45" s="680">
        <f>BE44*BE43</f>
        <v>0</v>
      </c>
      <c r="BF45" s="681"/>
      <c r="BG45" s="681"/>
      <c r="BI45" s="679" t="s">
        <v>762</v>
      </c>
      <c r="BJ45" s="680">
        <f>BJ44*BJ43</f>
        <v>3200000</v>
      </c>
      <c r="BK45" s="681"/>
      <c r="BL45" s="681"/>
      <c r="BN45" s="679" t="s">
        <v>762</v>
      </c>
      <c r="BO45" s="680">
        <f>BO44*BO43</f>
        <v>3840000</v>
      </c>
      <c r="BP45" s="681"/>
      <c r="BQ45" s="681"/>
      <c r="BS45" s="679" t="s">
        <v>762</v>
      </c>
      <c r="BT45" s="680">
        <f>BT44*BT43</f>
        <v>0</v>
      </c>
      <c r="BU45" s="681"/>
      <c r="BV45" s="681"/>
    </row>
    <row r="46" spans="1:74" ht="16" thickBot="1">
      <c r="A46" s="679" t="s">
        <v>763</v>
      </c>
      <c r="B46" s="688">
        <f>C50/B45</f>
        <v>0.17354166666666668</v>
      </c>
      <c r="C46" s="681"/>
      <c r="D46" s="689"/>
      <c r="E46" s="668"/>
      <c r="F46" s="679" t="s">
        <v>763</v>
      </c>
      <c r="G46" s="688">
        <f>H50/G45</f>
        <v>0.20826388888888889</v>
      </c>
      <c r="H46" s="681"/>
      <c r="I46" s="689"/>
      <c r="J46" s="668"/>
      <c r="K46" s="679" t="s">
        <v>763</v>
      </c>
      <c r="L46" s="688" t="e">
        <f>M50/L45</f>
        <v>#DIV/0!</v>
      </c>
      <c r="M46" s="681"/>
      <c r="N46" s="689"/>
      <c r="O46" s="668"/>
      <c r="P46" s="679" t="s">
        <v>763</v>
      </c>
      <c r="Q46" s="688">
        <f>R50/Q45</f>
        <v>0.33737499999999998</v>
      </c>
      <c r="R46" s="681"/>
      <c r="S46" s="689"/>
      <c r="U46" s="679" t="s">
        <v>763</v>
      </c>
      <c r="V46" s="688">
        <f>W50/V45</f>
        <v>0.51546875000000003</v>
      </c>
      <c r="W46" s="681"/>
      <c r="X46" s="689"/>
      <c r="Z46" s="679" t="s">
        <v>763</v>
      </c>
      <c r="AA46" s="688" t="e">
        <f>AB50/AA45</f>
        <v>#DIV/0!</v>
      </c>
      <c r="AB46" s="681"/>
      <c r="AC46" s="689"/>
      <c r="AE46" s="679" t="s">
        <v>763</v>
      </c>
      <c r="AF46" s="688">
        <f>AG50/AF45</f>
        <v>0.362375</v>
      </c>
      <c r="AG46" s="681"/>
      <c r="AH46" s="689"/>
      <c r="AJ46" s="679" t="s">
        <v>763</v>
      </c>
      <c r="AK46" s="688">
        <f>AL50/AK45</f>
        <v>0.54671875000000003</v>
      </c>
      <c r="AL46" s="681"/>
      <c r="AM46" s="689"/>
      <c r="AO46" s="679" t="s">
        <v>763</v>
      </c>
      <c r="AP46" s="688" t="e">
        <f>AQ50/AP45</f>
        <v>#DIV/0!</v>
      </c>
      <c r="AQ46" s="681"/>
      <c r="AR46" s="689"/>
      <c r="AT46" s="679" t="s">
        <v>763</v>
      </c>
      <c r="AU46" s="688">
        <f>AV50/AU45</f>
        <v>0.362375</v>
      </c>
      <c r="AV46" s="681"/>
      <c r="AW46" s="689"/>
      <c r="AY46" s="679" t="s">
        <v>763</v>
      </c>
      <c r="AZ46" s="688">
        <f>BA50/AZ45</f>
        <v>0.54671875000000003</v>
      </c>
      <c r="BA46" s="681"/>
      <c r="BB46" s="689"/>
      <c r="BD46" s="679" t="s">
        <v>763</v>
      </c>
      <c r="BE46" s="688" t="e">
        <f>BF50/BE45</f>
        <v>#DIV/0!</v>
      </c>
      <c r="BF46" s="681"/>
      <c r="BG46" s="689"/>
      <c r="BI46" s="679" t="s">
        <v>763</v>
      </c>
      <c r="BJ46" s="688">
        <f>BK50/BJ45</f>
        <v>0.362375</v>
      </c>
      <c r="BK46" s="681"/>
      <c r="BL46" s="689"/>
      <c r="BN46" s="679" t="s">
        <v>763</v>
      </c>
      <c r="BO46" s="688">
        <f>BP50/BO45</f>
        <v>0.54671875000000003</v>
      </c>
      <c r="BP46" s="681"/>
      <c r="BQ46" s="689"/>
      <c r="BS46" s="679" t="s">
        <v>763</v>
      </c>
      <c r="BT46" s="688" t="e">
        <f>BU50/BT45</f>
        <v>#DIV/0!</v>
      </c>
      <c r="BU46" s="681"/>
      <c r="BV46" s="689"/>
    </row>
    <row r="47" spans="1:74" ht="16" thickBot="1">
      <c r="A47" s="690"/>
      <c r="B47" s="691" t="s">
        <v>250</v>
      </c>
      <c r="C47" s="691" t="s">
        <v>764</v>
      </c>
      <c r="D47" s="691" t="s">
        <v>18</v>
      </c>
      <c r="E47" s="668"/>
      <c r="F47" s="690"/>
      <c r="G47" s="691" t="s">
        <v>250</v>
      </c>
      <c r="H47" s="691" t="s">
        <v>764</v>
      </c>
      <c r="I47" s="691" t="s">
        <v>18</v>
      </c>
      <c r="J47" s="668"/>
      <c r="K47" s="690"/>
      <c r="L47" s="691" t="s">
        <v>250</v>
      </c>
      <c r="M47" s="691" t="s">
        <v>764</v>
      </c>
      <c r="N47" s="691" t="s">
        <v>18</v>
      </c>
      <c r="O47" s="668"/>
      <c r="P47" s="690"/>
      <c r="Q47" s="691" t="s">
        <v>250</v>
      </c>
      <c r="R47" s="691" t="s">
        <v>764</v>
      </c>
      <c r="S47" s="691" t="s">
        <v>18</v>
      </c>
      <c r="U47" s="690"/>
      <c r="V47" s="691" t="s">
        <v>250</v>
      </c>
      <c r="W47" s="691" t="s">
        <v>764</v>
      </c>
      <c r="X47" s="691" t="s">
        <v>18</v>
      </c>
      <c r="Z47" s="690"/>
      <c r="AA47" s="691" t="s">
        <v>250</v>
      </c>
      <c r="AB47" s="691" t="s">
        <v>764</v>
      </c>
      <c r="AC47" s="691" t="s">
        <v>18</v>
      </c>
      <c r="AE47" s="690"/>
      <c r="AF47" s="691" t="s">
        <v>250</v>
      </c>
      <c r="AG47" s="691" t="s">
        <v>764</v>
      </c>
      <c r="AH47" s="691" t="s">
        <v>18</v>
      </c>
      <c r="AJ47" s="690"/>
      <c r="AK47" s="691" t="s">
        <v>250</v>
      </c>
      <c r="AL47" s="691" t="s">
        <v>764</v>
      </c>
      <c r="AM47" s="691" t="s">
        <v>18</v>
      </c>
      <c r="AO47" s="690"/>
      <c r="AP47" s="691" t="s">
        <v>250</v>
      </c>
      <c r="AQ47" s="691" t="s">
        <v>764</v>
      </c>
      <c r="AR47" s="691" t="s">
        <v>18</v>
      </c>
      <c r="AT47" s="690"/>
      <c r="AU47" s="691" t="s">
        <v>250</v>
      </c>
      <c r="AV47" s="691" t="s">
        <v>764</v>
      </c>
      <c r="AW47" s="691" t="s">
        <v>18</v>
      </c>
      <c r="AY47" s="690"/>
      <c r="AZ47" s="691" t="s">
        <v>250</v>
      </c>
      <c r="BA47" s="691" t="s">
        <v>764</v>
      </c>
      <c r="BB47" s="691" t="s">
        <v>18</v>
      </c>
      <c r="BD47" s="690"/>
      <c r="BE47" s="691" t="s">
        <v>250</v>
      </c>
      <c r="BF47" s="691" t="s">
        <v>764</v>
      </c>
      <c r="BG47" s="691" t="s">
        <v>18</v>
      </c>
      <c r="BI47" s="690"/>
      <c r="BJ47" s="691" t="s">
        <v>250</v>
      </c>
      <c r="BK47" s="691" t="s">
        <v>764</v>
      </c>
      <c r="BL47" s="691" t="s">
        <v>18</v>
      </c>
      <c r="BN47" s="690"/>
      <c r="BO47" s="691" t="s">
        <v>250</v>
      </c>
      <c r="BP47" s="691" t="s">
        <v>764</v>
      </c>
      <c r="BQ47" s="691" t="s">
        <v>18</v>
      </c>
      <c r="BS47" s="690"/>
      <c r="BT47" s="691" t="s">
        <v>250</v>
      </c>
      <c r="BU47" s="691" t="s">
        <v>764</v>
      </c>
      <c r="BV47" s="691" t="s">
        <v>18</v>
      </c>
    </row>
    <row r="48" spans="1:74" ht="16" thickBot="1">
      <c r="A48" s="692" t="s">
        <v>765</v>
      </c>
      <c r="B48" s="693">
        <f>ROUND(C48*$B$89,2)</f>
        <v>5.88</v>
      </c>
      <c r="C48" s="694">
        <f>ROUND(D48*'BKFC Inputs'!$G$11,2)</f>
        <v>12.5</v>
      </c>
      <c r="D48" s="694">
        <f>C37</f>
        <v>24.99</v>
      </c>
      <c r="E48" s="668"/>
      <c r="F48" s="692" t="s">
        <v>765</v>
      </c>
      <c r="G48" s="693">
        <f>ROUND(H48*$B$89,2)</f>
        <v>7.05</v>
      </c>
      <c r="H48" s="694">
        <f>ROUND(I48*'BKFC Inputs'!$G$11,2)</f>
        <v>15</v>
      </c>
      <c r="I48" s="694">
        <f>H37</f>
        <v>29.99</v>
      </c>
      <c r="J48" s="668"/>
      <c r="K48" s="692" t="s">
        <v>765</v>
      </c>
      <c r="L48" s="693">
        <f>ROUND(M48*$B$89,2)</f>
        <v>0</v>
      </c>
      <c r="M48" s="694">
        <f>ROUND(N48*'BKFC Inputs'!$G$11,2)</f>
        <v>0</v>
      </c>
      <c r="N48" s="694">
        <f>M37</f>
        <v>0</v>
      </c>
      <c r="O48" s="668"/>
      <c r="P48" s="692" t="s">
        <v>765</v>
      </c>
      <c r="Q48" s="693">
        <f>ROUND(R48*$B$89,2)</f>
        <v>6.35</v>
      </c>
      <c r="R48" s="694">
        <f>ROUND(S48*'BKFC Inputs'!$G$11,2)</f>
        <v>13.5</v>
      </c>
      <c r="S48" s="694">
        <f>R37</f>
        <v>26.99</v>
      </c>
      <c r="U48" s="692" t="s">
        <v>765</v>
      </c>
      <c r="V48" s="693">
        <f>ROUND(W48*$B$89,2)</f>
        <v>7.76</v>
      </c>
      <c r="W48" s="694">
        <f>ROUND(X48*'BKFC Inputs'!$G$11,2)</f>
        <v>16.5</v>
      </c>
      <c r="X48" s="694">
        <f>W37</f>
        <v>32.99</v>
      </c>
      <c r="Z48" s="692" t="s">
        <v>765</v>
      </c>
      <c r="AA48" s="693">
        <f>ROUND(AB48*$B$89,2)</f>
        <v>0</v>
      </c>
      <c r="AB48" s="694">
        <f>ROUND(AC48*'BKFC Inputs'!$G$11,2)</f>
        <v>0</v>
      </c>
      <c r="AC48" s="694">
        <f>AB37</f>
        <v>0</v>
      </c>
      <c r="AE48" s="692" t="s">
        <v>765</v>
      </c>
      <c r="AF48" s="693">
        <f>ROUND(AG48*$B$89,2)</f>
        <v>6.82</v>
      </c>
      <c r="AG48" s="694">
        <f>ROUND(AH48*'BKFC Inputs'!$G$11,2)</f>
        <v>14.5</v>
      </c>
      <c r="AH48" s="694">
        <f>AG37</f>
        <v>28.99</v>
      </c>
      <c r="AJ48" s="692" t="s">
        <v>765</v>
      </c>
      <c r="AK48" s="693">
        <f>ROUND(AL48*$B$89,2)</f>
        <v>8.23</v>
      </c>
      <c r="AL48" s="694">
        <f>ROUND(AM48*'BKFC Inputs'!$G$11,2)</f>
        <v>17.5</v>
      </c>
      <c r="AM48" s="694">
        <f>AL37</f>
        <v>34.99</v>
      </c>
      <c r="AO48" s="692" t="s">
        <v>765</v>
      </c>
      <c r="AP48" s="693">
        <f>ROUND(AQ48*$B$89,2)</f>
        <v>0</v>
      </c>
      <c r="AQ48" s="694">
        <f>ROUND(AR48*'BKFC Inputs'!$G$11,2)</f>
        <v>0</v>
      </c>
      <c r="AR48" s="694">
        <f>AQ37</f>
        <v>0</v>
      </c>
      <c r="AT48" s="692" t="s">
        <v>765</v>
      </c>
      <c r="AU48" s="693">
        <f>ROUND(AV48*$B$89,2)</f>
        <v>6.82</v>
      </c>
      <c r="AV48" s="694">
        <f>ROUND(AW48*'BKFC Inputs'!$G$11,2)</f>
        <v>14.5</v>
      </c>
      <c r="AW48" s="694">
        <f>AV37</f>
        <v>28.99</v>
      </c>
      <c r="AY48" s="692" t="s">
        <v>765</v>
      </c>
      <c r="AZ48" s="693">
        <f>ROUND(BA48*$B$89,2)</f>
        <v>8.23</v>
      </c>
      <c r="BA48" s="694">
        <f>ROUND(BB48*'BKFC Inputs'!$G$11,2)</f>
        <v>17.5</v>
      </c>
      <c r="BB48" s="694">
        <f>BA37</f>
        <v>34.99</v>
      </c>
      <c r="BD48" s="692" t="s">
        <v>765</v>
      </c>
      <c r="BE48" s="693">
        <f>ROUND(BF48*$B$89,2)</f>
        <v>0</v>
      </c>
      <c r="BF48" s="694">
        <f>ROUND(BG48*'BKFC Inputs'!$G$11,2)</f>
        <v>0</v>
      </c>
      <c r="BG48" s="694">
        <f>BF37</f>
        <v>0</v>
      </c>
      <c r="BI48" s="692" t="s">
        <v>765</v>
      </c>
      <c r="BJ48" s="693">
        <f>ROUND(BK48*$B$89,2)</f>
        <v>6.82</v>
      </c>
      <c r="BK48" s="694">
        <f>ROUND(BL48*'BKFC Inputs'!$G$11,2)</f>
        <v>14.5</v>
      </c>
      <c r="BL48" s="694">
        <f>BK37</f>
        <v>28.99</v>
      </c>
      <c r="BN48" s="692" t="s">
        <v>765</v>
      </c>
      <c r="BO48" s="693">
        <f>ROUND(BP48*$B$89,2)</f>
        <v>8.23</v>
      </c>
      <c r="BP48" s="694">
        <f>ROUND(BQ48*'BKFC Inputs'!$G$11,2)</f>
        <v>17.5</v>
      </c>
      <c r="BQ48" s="694">
        <f>BP37</f>
        <v>34.99</v>
      </c>
      <c r="BS48" s="692" t="s">
        <v>765</v>
      </c>
      <c r="BT48" s="693">
        <f>ROUND(BU48*$B$89,2)</f>
        <v>0</v>
      </c>
      <c r="BU48" s="694">
        <f>ROUND(BV48*'BKFC Inputs'!$G$11,2)</f>
        <v>0</v>
      </c>
      <c r="BV48" s="694">
        <f>BU37</f>
        <v>0</v>
      </c>
    </row>
    <row r="49" spans="1:74" ht="16" thickBot="1">
      <c r="A49" s="692" t="s">
        <v>766</v>
      </c>
      <c r="B49" s="693">
        <f>ROUND(C49*$B$89,2)</f>
        <v>117.45</v>
      </c>
      <c r="C49" s="695">
        <f>ROUND(D49*'BKFC Inputs'!$G$11,2)</f>
        <v>249.9</v>
      </c>
      <c r="D49" s="695">
        <f>ROUND(D48*B40,2)</f>
        <v>499.8</v>
      </c>
      <c r="E49" s="668"/>
      <c r="F49" s="692" t="s">
        <v>766</v>
      </c>
      <c r="G49" s="693">
        <f>ROUND(H49*$B$89,2)</f>
        <v>140.94999999999999</v>
      </c>
      <c r="H49" s="695">
        <f>ROUND(I49*'BKFC Inputs'!$G$11,2)</f>
        <v>299.89999999999998</v>
      </c>
      <c r="I49" s="695">
        <f>ROUND(I48*G40,2)</f>
        <v>599.79999999999995</v>
      </c>
      <c r="J49" s="668"/>
      <c r="K49" s="692" t="s">
        <v>766</v>
      </c>
      <c r="L49" s="693">
        <f>ROUND(M49*$B$89,2)</f>
        <v>0</v>
      </c>
      <c r="M49" s="695">
        <f>ROUND(N49*'BKFC Inputs'!$G$11,2)</f>
        <v>0</v>
      </c>
      <c r="N49" s="695">
        <f>ROUND(N48*L40,2)</f>
        <v>0</v>
      </c>
      <c r="O49" s="668"/>
      <c r="P49" s="692" t="s">
        <v>766</v>
      </c>
      <c r="Q49" s="693">
        <f>ROUND(R49*$B$89,2)</f>
        <v>126.85</v>
      </c>
      <c r="R49" s="695">
        <f>ROUND(S49*'BKFC Inputs'!$G$11,2)</f>
        <v>269.89999999999998</v>
      </c>
      <c r="S49" s="695">
        <f>ROUND(S48*Q40,2)</f>
        <v>539.79999999999995</v>
      </c>
      <c r="U49" s="692" t="s">
        <v>766</v>
      </c>
      <c r="V49" s="693">
        <f>ROUND(W49*$B$89,2)</f>
        <v>155.05000000000001</v>
      </c>
      <c r="W49" s="695">
        <f>ROUND(X49*'BKFC Inputs'!$G$11,2)</f>
        <v>329.9</v>
      </c>
      <c r="X49" s="695">
        <f>ROUND(X48*V40,2)</f>
        <v>659.8</v>
      </c>
      <c r="Z49" s="692" t="s">
        <v>766</v>
      </c>
      <c r="AA49" s="693">
        <f>ROUND(AB49*$B$89,2)</f>
        <v>0</v>
      </c>
      <c r="AB49" s="695">
        <f>ROUND(AC49*'BKFC Inputs'!$G$11,2)</f>
        <v>0</v>
      </c>
      <c r="AC49" s="695">
        <f>ROUND(AC48*AA40,2)</f>
        <v>0</v>
      </c>
      <c r="AE49" s="692" t="s">
        <v>766</v>
      </c>
      <c r="AF49" s="693">
        <f>ROUND(AG49*$B$89,2)</f>
        <v>136.25</v>
      </c>
      <c r="AG49" s="695">
        <f>ROUND(AH49*'BKFC Inputs'!$G$11,2)</f>
        <v>289.89999999999998</v>
      </c>
      <c r="AH49" s="695">
        <f>ROUND(AH48*AF40,2)</f>
        <v>579.79999999999995</v>
      </c>
      <c r="AJ49" s="692" t="s">
        <v>766</v>
      </c>
      <c r="AK49" s="693">
        <f>ROUND(AL49*$B$89,2)</f>
        <v>164.45</v>
      </c>
      <c r="AL49" s="695">
        <f>ROUND(AM49*'BKFC Inputs'!$G$11,2)</f>
        <v>349.9</v>
      </c>
      <c r="AM49" s="695">
        <f>ROUND(AM48*AK40,2)</f>
        <v>699.8</v>
      </c>
      <c r="AO49" s="692" t="s">
        <v>766</v>
      </c>
      <c r="AP49" s="693">
        <f>ROUND(AQ49*$B$89,2)</f>
        <v>0</v>
      </c>
      <c r="AQ49" s="695">
        <f>ROUND(AR49*'BKFC Inputs'!$G$11,2)</f>
        <v>0</v>
      </c>
      <c r="AR49" s="695">
        <f>ROUND(AR48*AP40,2)</f>
        <v>0</v>
      </c>
      <c r="AT49" s="692" t="s">
        <v>766</v>
      </c>
      <c r="AU49" s="693">
        <f>ROUND(AV49*$B$89,2)</f>
        <v>136.25</v>
      </c>
      <c r="AV49" s="695">
        <f>ROUND(AW49*'BKFC Inputs'!$G$11,2)</f>
        <v>289.89999999999998</v>
      </c>
      <c r="AW49" s="695">
        <f>ROUND(AW48*AU40,2)</f>
        <v>579.79999999999995</v>
      </c>
      <c r="AY49" s="692" t="s">
        <v>766</v>
      </c>
      <c r="AZ49" s="693">
        <f>ROUND(BA49*$B$89,2)</f>
        <v>164.45</v>
      </c>
      <c r="BA49" s="695">
        <f>ROUND(BB49*'BKFC Inputs'!$G$11,2)</f>
        <v>349.9</v>
      </c>
      <c r="BB49" s="695">
        <f>ROUND(BB48*AZ40,2)</f>
        <v>699.8</v>
      </c>
      <c r="BD49" s="692" t="s">
        <v>766</v>
      </c>
      <c r="BE49" s="693">
        <f>ROUND(BF49*$B$89,2)</f>
        <v>0</v>
      </c>
      <c r="BF49" s="695">
        <f>ROUND(BG49*'BKFC Inputs'!$G$11,2)</f>
        <v>0</v>
      </c>
      <c r="BG49" s="695">
        <f>ROUND(BG48*BE40,2)</f>
        <v>0</v>
      </c>
      <c r="BI49" s="692" t="s">
        <v>766</v>
      </c>
      <c r="BJ49" s="693">
        <f>ROUND(BK49*$B$89,2)</f>
        <v>136.25</v>
      </c>
      <c r="BK49" s="695">
        <f>ROUND(BL49*'BKFC Inputs'!$G$11,2)</f>
        <v>289.89999999999998</v>
      </c>
      <c r="BL49" s="695">
        <f>ROUND(BL48*BJ40,2)</f>
        <v>579.79999999999995</v>
      </c>
      <c r="BN49" s="692" t="s">
        <v>766</v>
      </c>
      <c r="BO49" s="693">
        <f>ROUND(BP49*$B$89,2)</f>
        <v>164.45</v>
      </c>
      <c r="BP49" s="695">
        <f>ROUND(BQ49*'BKFC Inputs'!$G$11,2)</f>
        <v>349.9</v>
      </c>
      <c r="BQ49" s="695">
        <f>ROUND(BQ48*BO40,2)</f>
        <v>699.8</v>
      </c>
      <c r="BS49" s="692" t="s">
        <v>766</v>
      </c>
      <c r="BT49" s="693">
        <f>ROUND(BU49*$B$89,2)</f>
        <v>0</v>
      </c>
      <c r="BU49" s="695">
        <f>ROUND(BV49*'BKFC Inputs'!$G$11,2)</f>
        <v>0</v>
      </c>
      <c r="BV49" s="695">
        <f>ROUND(BV48*BT40,2)</f>
        <v>0</v>
      </c>
    </row>
    <row r="50" spans="1:74" ht="16" thickBot="1">
      <c r="A50" s="692" t="s">
        <v>767</v>
      </c>
      <c r="B50" s="693">
        <f>ROUND(B49*$B39,2)</f>
        <v>187920</v>
      </c>
      <c r="C50" s="695">
        <f>ROUND(C49*B39,2)</f>
        <v>399840</v>
      </c>
      <c r="D50" s="695">
        <f>ROUND(D49*B39,2)</f>
        <v>799680</v>
      </c>
      <c r="E50" s="668"/>
      <c r="F50" s="692" t="s">
        <v>767</v>
      </c>
      <c r="G50" s="693">
        <f>ROUND(G49*$B39,2)</f>
        <v>225520</v>
      </c>
      <c r="H50" s="695">
        <f>ROUND(H49*G39,2)</f>
        <v>599800</v>
      </c>
      <c r="I50" s="695">
        <f>ROUND(I49*G39,2)</f>
        <v>1199600</v>
      </c>
      <c r="J50" s="668"/>
      <c r="K50" s="692" t="s">
        <v>767</v>
      </c>
      <c r="L50" s="693">
        <f>ROUND(L49*$B39,2)</f>
        <v>0</v>
      </c>
      <c r="M50" s="695">
        <f>ROUND(M49*L39,2)</f>
        <v>0</v>
      </c>
      <c r="N50" s="695">
        <f>ROUND(N49*L39,2)</f>
        <v>0</v>
      </c>
      <c r="O50" s="668"/>
      <c r="P50" s="692" t="s">
        <v>767</v>
      </c>
      <c r="Q50" s="693">
        <f>ROUND(Q49*$B39,2)</f>
        <v>202960</v>
      </c>
      <c r="R50" s="695">
        <f>ROUND(R49*Q39,2)</f>
        <v>539800</v>
      </c>
      <c r="S50" s="695">
        <f>ROUND(S49*Q39,2)</f>
        <v>1079600</v>
      </c>
      <c r="U50" s="692" t="s">
        <v>767</v>
      </c>
      <c r="V50" s="693">
        <f>ROUND(V49*$B39,2)</f>
        <v>248080</v>
      </c>
      <c r="W50" s="695">
        <f>ROUND(W49*V39,2)</f>
        <v>824750</v>
      </c>
      <c r="X50" s="695">
        <f>ROUND(X49*V39,2)</f>
        <v>1649500</v>
      </c>
      <c r="Z50" s="692" t="s">
        <v>767</v>
      </c>
      <c r="AA50" s="693">
        <f>ROUND(AA49*$B39,2)</f>
        <v>0</v>
      </c>
      <c r="AB50" s="695">
        <f>ROUND(AB49*AA39,2)</f>
        <v>0</v>
      </c>
      <c r="AC50" s="695">
        <f>ROUND(AC49*AA39,2)</f>
        <v>0</v>
      </c>
      <c r="AE50" s="692" t="s">
        <v>767</v>
      </c>
      <c r="AF50" s="693">
        <f>ROUND(AF49*$B39,2)</f>
        <v>218000</v>
      </c>
      <c r="AG50" s="695">
        <f>ROUND(AG49*AF39,2)</f>
        <v>869700</v>
      </c>
      <c r="AH50" s="695">
        <f>ROUND(AH49*AF39,2)</f>
        <v>1739400</v>
      </c>
      <c r="AJ50" s="692" t="s">
        <v>767</v>
      </c>
      <c r="AK50" s="693">
        <f>ROUND(AK49*$B39,2)</f>
        <v>263120</v>
      </c>
      <c r="AL50" s="695">
        <f>ROUND(AL49*AK39,2)</f>
        <v>1399600</v>
      </c>
      <c r="AM50" s="695">
        <f>ROUND(AM49*AK39,2)</f>
        <v>2799200</v>
      </c>
      <c r="AO50" s="692" t="s">
        <v>767</v>
      </c>
      <c r="AP50" s="693">
        <f>ROUND(AP49*$B39,2)</f>
        <v>0</v>
      </c>
      <c r="AQ50" s="695">
        <f>ROUND(AQ49*AP39,2)</f>
        <v>0</v>
      </c>
      <c r="AR50" s="695">
        <f>ROUND(AR49*AP39,2)</f>
        <v>0</v>
      </c>
      <c r="AT50" s="692" t="s">
        <v>767</v>
      </c>
      <c r="AU50" s="693">
        <f>ROUND(AU49*$B39,2)</f>
        <v>218000</v>
      </c>
      <c r="AV50" s="695">
        <f>ROUND(AV49*AU39,2)</f>
        <v>1014650</v>
      </c>
      <c r="AW50" s="695">
        <f>ROUND(AW49*AU39,2)</f>
        <v>2029300</v>
      </c>
      <c r="AY50" s="692" t="s">
        <v>767</v>
      </c>
      <c r="AZ50" s="693">
        <f>ROUND(AZ49*$B39,2)</f>
        <v>263120</v>
      </c>
      <c r="BA50" s="695">
        <f>ROUND(BA49*AZ39,2)</f>
        <v>1749500</v>
      </c>
      <c r="BB50" s="695">
        <f>ROUND(BB49*AZ39,2)</f>
        <v>3499000</v>
      </c>
      <c r="BD50" s="692" t="s">
        <v>767</v>
      </c>
      <c r="BE50" s="693">
        <f>ROUND(BE49*$B39,2)</f>
        <v>0</v>
      </c>
      <c r="BF50" s="695">
        <f>ROUND(BF49*BE39,2)</f>
        <v>0</v>
      </c>
      <c r="BG50" s="695">
        <f>ROUND(BG49*BE39,2)</f>
        <v>0</v>
      </c>
      <c r="BI50" s="692" t="s">
        <v>767</v>
      </c>
      <c r="BJ50" s="693">
        <f>ROUND(BJ49*$B39,2)</f>
        <v>218000</v>
      </c>
      <c r="BK50" s="695">
        <f>ROUND(BK49*BJ39,2)</f>
        <v>1159600</v>
      </c>
      <c r="BL50" s="695">
        <f>ROUND(BL49*BJ39,2)</f>
        <v>2319200</v>
      </c>
      <c r="BN50" s="692" t="s">
        <v>767</v>
      </c>
      <c r="BO50" s="693">
        <f>ROUND(BO49*$B39,2)</f>
        <v>263120</v>
      </c>
      <c r="BP50" s="695">
        <f>ROUND(BP49*BO39,2)</f>
        <v>2099400</v>
      </c>
      <c r="BQ50" s="695">
        <f>ROUND(BQ49*BO39,2)</f>
        <v>4198800</v>
      </c>
      <c r="BS50" s="692" t="s">
        <v>767</v>
      </c>
      <c r="BT50" s="693">
        <f>ROUND(BT49*$B39,2)</f>
        <v>0</v>
      </c>
      <c r="BU50" s="695">
        <f>ROUND(BU49*BT39,2)</f>
        <v>0</v>
      </c>
      <c r="BV50" s="695">
        <f>ROUND(BV49*BT39,2)</f>
        <v>0</v>
      </c>
    </row>
    <row r="51" spans="1:74" ht="16" thickBot="1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8"/>
      <c r="P51" s="668"/>
      <c r="Q51" s="668"/>
      <c r="R51" s="668"/>
      <c r="S51" s="668"/>
      <c r="U51" s="668"/>
      <c r="V51" s="668"/>
      <c r="W51" s="668"/>
      <c r="X51" s="668"/>
      <c r="Z51" s="668"/>
      <c r="AA51" s="668"/>
      <c r="AB51" s="668"/>
      <c r="AC51" s="668"/>
      <c r="AE51" s="668"/>
      <c r="AF51" s="668"/>
      <c r="AG51" s="668"/>
      <c r="AH51" s="668"/>
      <c r="AJ51" s="668"/>
      <c r="AK51" s="668"/>
      <c r="AL51" s="668"/>
      <c r="AM51" s="668"/>
      <c r="AO51" s="668"/>
      <c r="AP51" s="668"/>
      <c r="AQ51" s="668"/>
      <c r="AR51" s="668"/>
      <c r="AT51" s="668"/>
      <c r="AU51" s="668"/>
      <c r="AV51" s="668"/>
      <c r="AW51" s="668"/>
      <c r="AY51" s="668"/>
      <c r="AZ51" s="668"/>
      <c r="BA51" s="668"/>
      <c r="BB51" s="668"/>
      <c r="BD51" s="668"/>
      <c r="BE51" s="668"/>
      <c r="BF51" s="668"/>
      <c r="BG51" s="668"/>
      <c r="BI51" s="668"/>
      <c r="BJ51" s="668"/>
      <c r="BK51" s="668"/>
      <c r="BL51" s="668"/>
      <c r="BN51" s="668"/>
      <c r="BO51" s="668"/>
      <c r="BP51" s="668"/>
      <c r="BQ51" s="668"/>
      <c r="BS51" s="668"/>
      <c r="BT51" s="668"/>
      <c r="BU51" s="668"/>
      <c r="BV51" s="668"/>
    </row>
    <row r="52" spans="1:74" ht="16" thickBot="1">
      <c r="A52" s="668"/>
      <c r="B52" s="668"/>
      <c r="C52" s="674" t="s">
        <v>754</v>
      </c>
      <c r="D52" s="675" t="s">
        <v>755</v>
      </c>
      <c r="E52" s="668"/>
      <c r="F52" s="668"/>
      <c r="G52" s="668"/>
      <c r="H52" s="674" t="s">
        <v>754</v>
      </c>
      <c r="I52" s="675" t="s">
        <v>755</v>
      </c>
      <c r="J52" s="668"/>
      <c r="K52" s="668"/>
      <c r="L52" s="668"/>
      <c r="M52" s="674" t="s">
        <v>754</v>
      </c>
      <c r="N52" s="675" t="s">
        <v>755</v>
      </c>
      <c r="O52" s="668"/>
      <c r="P52" s="668"/>
      <c r="Q52" s="668"/>
      <c r="R52" s="674" t="s">
        <v>754</v>
      </c>
      <c r="S52" s="675" t="s">
        <v>755</v>
      </c>
      <c r="U52" s="668"/>
      <c r="V52" s="668"/>
      <c r="W52" s="674" t="s">
        <v>754</v>
      </c>
      <c r="X52" s="675" t="s">
        <v>755</v>
      </c>
      <c r="Z52" s="668"/>
      <c r="AA52" s="668"/>
      <c r="AB52" s="674" t="s">
        <v>754</v>
      </c>
      <c r="AC52" s="675" t="s">
        <v>755</v>
      </c>
      <c r="AE52" s="668"/>
      <c r="AF52" s="668"/>
      <c r="AG52" s="674" t="s">
        <v>754</v>
      </c>
      <c r="AH52" s="675" t="s">
        <v>755</v>
      </c>
      <c r="AJ52" s="668"/>
      <c r="AK52" s="668"/>
      <c r="AL52" s="674" t="s">
        <v>754</v>
      </c>
      <c r="AM52" s="675" t="s">
        <v>755</v>
      </c>
      <c r="AO52" s="668"/>
      <c r="AP52" s="668"/>
      <c r="AQ52" s="674" t="s">
        <v>754</v>
      </c>
      <c r="AR52" s="675" t="s">
        <v>755</v>
      </c>
      <c r="AT52" s="668"/>
      <c r="AU52" s="668"/>
      <c r="AV52" s="674" t="s">
        <v>754</v>
      </c>
      <c r="AW52" s="675" t="s">
        <v>755</v>
      </c>
      <c r="AY52" s="668"/>
      <c r="AZ52" s="668"/>
      <c r="BA52" s="674" t="s">
        <v>754</v>
      </c>
      <c r="BB52" s="675" t="s">
        <v>755</v>
      </c>
      <c r="BD52" s="668"/>
      <c r="BE52" s="668"/>
      <c r="BF52" s="674" t="s">
        <v>754</v>
      </c>
      <c r="BG52" s="675" t="s">
        <v>755</v>
      </c>
      <c r="BI52" s="668"/>
      <c r="BJ52" s="668"/>
      <c r="BK52" s="674" t="s">
        <v>754</v>
      </c>
      <c r="BL52" s="675" t="s">
        <v>755</v>
      </c>
      <c r="BN52" s="668"/>
      <c r="BO52" s="668"/>
      <c r="BP52" s="674" t="s">
        <v>754</v>
      </c>
      <c r="BQ52" s="675" t="s">
        <v>755</v>
      </c>
      <c r="BS52" s="668"/>
      <c r="BT52" s="668"/>
      <c r="BU52" s="674" t="s">
        <v>754</v>
      </c>
      <c r="BV52" s="675" t="s">
        <v>755</v>
      </c>
    </row>
    <row r="53" spans="1:74" s="677" customFormat="1" ht="16">
      <c r="A53" s="676" t="s">
        <v>770</v>
      </c>
      <c r="B53" s="1172" t="s">
        <v>18</v>
      </c>
      <c r="C53" s="1176">
        <f>'BKFC Inputs'!E26</f>
        <v>14.99</v>
      </c>
      <c r="D53" s="1178">
        <f>C53*B56</f>
        <v>599.6</v>
      </c>
      <c r="E53" s="1179"/>
      <c r="F53" s="676" t="s">
        <v>770</v>
      </c>
      <c r="G53" s="1172" t="s">
        <v>18</v>
      </c>
      <c r="H53" s="1176">
        <f>'BKFC Inputs'!E39</f>
        <v>19.989999999999998</v>
      </c>
      <c r="I53" s="1178">
        <f>H53*G56</f>
        <v>799.59999999999991</v>
      </c>
      <c r="J53" s="1179"/>
      <c r="K53" s="676" t="s">
        <v>770</v>
      </c>
      <c r="L53" s="1172" t="s">
        <v>18</v>
      </c>
      <c r="M53" s="1176">
        <f>'BKFC Inputs'!E52</f>
        <v>0</v>
      </c>
      <c r="N53" s="1178">
        <f>M53*L56</f>
        <v>0</v>
      </c>
      <c r="O53" s="1180"/>
      <c r="P53" s="676" t="s">
        <v>770</v>
      </c>
      <c r="Q53" s="1172" t="s">
        <v>18</v>
      </c>
      <c r="R53" s="1176">
        <f>'BKFC Inputs'!E65</f>
        <v>15.99</v>
      </c>
      <c r="S53" s="1178">
        <f>R53*Q56</f>
        <v>639.6</v>
      </c>
      <c r="U53" s="676" t="s">
        <v>770</v>
      </c>
      <c r="V53" s="1172" t="s">
        <v>18</v>
      </c>
      <c r="W53" s="1176">
        <f>'BKFC Inputs'!E78</f>
        <v>21.99</v>
      </c>
      <c r="X53" s="1178">
        <f>W53*V56</f>
        <v>879.59999999999991</v>
      </c>
      <c r="Z53" s="676" t="s">
        <v>770</v>
      </c>
      <c r="AA53" s="1172" t="s">
        <v>18</v>
      </c>
      <c r="AB53" s="1176">
        <f>'BKFC Inputs'!E91</f>
        <v>0</v>
      </c>
      <c r="AC53" s="1178">
        <f>AB53*AA56</f>
        <v>0</v>
      </c>
      <c r="AE53" s="676" t="s">
        <v>770</v>
      </c>
      <c r="AF53" s="1172" t="s">
        <v>18</v>
      </c>
      <c r="AG53" s="1176">
        <f>'BKFC Inputs'!E104</f>
        <v>16.989999999999998</v>
      </c>
      <c r="AH53" s="1178">
        <f>AG53*AF56</f>
        <v>679.59999999999991</v>
      </c>
      <c r="AJ53" s="676" t="s">
        <v>770</v>
      </c>
      <c r="AK53" s="1172" t="s">
        <v>18</v>
      </c>
      <c r="AL53" s="1176">
        <f>'BKFC Inputs'!E117</f>
        <v>23.99</v>
      </c>
      <c r="AM53" s="1178">
        <f>AL53*AK56</f>
        <v>959.59999999999991</v>
      </c>
      <c r="AO53" s="676" t="s">
        <v>770</v>
      </c>
      <c r="AP53" s="1172" t="s">
        <v>18</v>
      </c>
      <c r="AQ53" s="1176">
        <f>'BKFC Inputs'!E130</f>
        <v>0</v>
      </c>
      <c r="AR53" s="1178">
        <f>AQ53*AP56</f>
        <v>0</v>
      </c>
      <c r="AT53" s="676" t="s">
        <v>770</v>
      </c>
      <c r="AU53" s="1172" t="s">
        <v>18</v>
      </c>
      <c r="AV53" s="1176">
        <f>'BKFC Inputs'!E143</f>
        <v>16.989999999999998</v>
      </c>
      <c r="AW53" s="1178">
        <f>AV53*AU56</f>
        <v>679.59999999999991</v>
      </c>
      <c r="AY53" s="676" t="s">
        <v>770</v>
      </c>
      <c r="AZ53" s="1172" t="s">
        <v>18</v>
      </c>
      <c r="BA53" s="1176">
        <f>'BKFC Inputs'!E156</f>
        <v>23.99</v>
      </c>
      <c r="BB53" s="1178">
        <f>BA53*AZ56</f>
        <v>959.59999999999991</v>
      </c>
      <c r="BD53" s="676" t="s">
        <v>770</v>
      </c>
      <c r="BE53" s="1172" t="s">
        <v>18</v>
      </c>
      <c r="BF53" s="1176">
        <f>'BKFC Inputs'!E169</f>
        <v>0</v>
      </c>
      <c r="BG53" s="1178">
        <f>BF53*BE56</f>
        <v>0</v>
      </c>
      <c r="BI53" s="676" t="s">
        <v>770</v>
      </c>
      <c r="BJ53" s="1172" t="s">
        <v>18</v>
      </c>
      <c r="BK53" s="1176">
        <f>'BKFC Inputs'!E182</f>
        <v>16.989999999999998</v>
      </c>
      <c r="BL53" s="1178">
        <f>BK53*BJ56</f>
        <v>679.59999999999991</v>
      </c>
      <c r="BN53" s="676" t="s">
        <v>770</v>
      </c>
      <c r="BO53" s="1172" t="s">
        <v>18</v>
      </c>
      <c r="BP53" s="1176">
        <f>'BKFC Inputs'!E195</f>
        <v>23.99</v>
      </c>
      <c r="BQ53" s="1178">
        <f>BP53*BO56</f>
        <v>959.59999999999991</v>
      </c>
      <c r="BS53" s="676" t="s">
        <v>770</v>
      </c>
      <c r="BT53" s="1172" t="s">
        <v>18</v>
      </c>
      <c r="BU53" s="1176">
        <f>'BKFC Inputs'!E208</f>
        <v>0</v>
      </c>
      <c r="BV53" s="1178">
        <f>BU53*BT56</f>
        <v>0</v>
      </c>
    </row>
    <row r="54" spans="1:74" s="677" customFormat="1" ht="16" thickBot="1">
      <c r="A54" s="678" t="s">
        <v>771</v>
      </c>
      <c r="B54" s="1173"/>
      <c r="C54" s="1177"/>
      <c r="D54" s="1175"/>
      <c r="E54" s="1179"/>
      <c r="F54" s="678" t="s">
        <v>771</v>
      </c>
      <c r="G54" s="1173"/>
      <c r="H54" s="1177"/>
      <c r="I54" s="1175"/>
      <c r="J54" s="1179"/>
      <c r="K54" s="678" t="s">
        <v>771</v>
      </c>
      <c r="L54" s="1173"/>
      <c r="M54" s="1177"/>
      <c r="N54" s="1175"/>
      <c r="O54" s="1180"/>
      <c r="P54" s="678" t="s">
        <v>771</v>
      </c>
      <c r="Q54" s="1173"/>
      <c r="R54" s="1177"/>
      <c r="S54" s="1175"/>
      <c r="U54" s="678" t="s">
        <v>771</v>
      </c>
      <c r="V54" s="1173"/>
      <c r="W54" s="1177"/>
      <c r="X54" s="1175"/>
      <c r="Z54" s="678" t="s">
        <v>771</v>
      </c>
      <c r="AA54" s="1173"/>
      <c r="AB54" s="1177"/>
      <c r="AC54" s="1175"/>
      <c r="AE54" s="678" t="s">
        <v>771</v>
      </c>
      <c r="AF54" s="1173"/>
      <c r="AG54" s="1177"/>
      <c r="AH54" s="1175"/>
      <c r="AJ54" s="678" t="s">
        <v>771</v>
      </c>
      <c r="AK54" s="1173"/>
      <c r="AL54" s="1177"/>
      <c r="AM54" s="1175"/>
      <c r="AO54" s="678" t="s">
        <v>771</v>
      </c>
      <c r="AP54" s="1173"/>
      <c r="AQ54" s="1177"/>
      <c r="AR54" s="1175"/>
      <c r="AT54" s="678" t="s">
        <v>771</v>
      </c>
      <c r="AU54" s="1173"/>
      <c r="AV54" s="1177"/>
      <c r="AW54" s="1175"/>
      <c r="AY54" s="678" t="s">
        <v>771</v>
      </c>
      <c r="AZ54" s="1173"/>
      <c r="BA54" s="1177"/>
      <c r="BB54" s="1175"/>
      <c r="BD54" s="678" t="s">
        <v>771</v>
      </c>
      <c r="BE54" s="1173"/>
      <c r="BF54" s="1177"/>
      <c r="BG54" s="1175"/>
      <c r="BI54" s="678" t="s">
        <v>771</v>
      </c>
      <c r="BJ54" s="1173"/>
      <c r="BK54" s="1177"/>
      <c r="BL54" s="1175"/>
      <c r="BN54" s="678" t="s">
        <v>771</v>
      </c>
      <c r="BO54" s="1173"/>
      <c r="BP54" s="1177"/>
      <c r="BQ54" s="1175"/>
      <c r="BS54" s="678" t="s">
        <v>771</v>
      </c>
      <c r="BT54" s="1173"/>
      <c r="BU54" s="1177"/>
      <c r="BV54" s="1175"/>
    </row>
    <row r="55" spans="1:74" ht="16" thickBot="1">
      <c r="A55" s="679" t="s">
        <v>758</v>
      </c>
      <c r="B55" s="681">
        <f>'BKFC Inputs'!G26</f>
        <v>1600</v>
      </c>
      <c r="C55" s="681"/>
      <c r="D55" s="681"/>
      <c r="E55" s="668"/>
      <c r="F55" s="679" t="s">
        <v>758</v>
      </c>
      <c r="G55" s="681">
        <f>'BKFC Inputs'!G39</f>
        <v>2000</v>
      </c>
      <c r="H55" s="681"/>
      <c r="I55" s="681"/>
      <c r="J55" s="668"/>
      <c r="K55" s="679" t="s">
        <v>758</v>
      </c>
      <c r="L55" s="681">
        <f>'BKFC Inputs'!G52</f>
        <v>0</v>
      </c>
      <c r="M55" s="681"/>
      <c r="N55" s="681"/>
      <c r="O55" s="668"/>
      <c r="P55" s="679" t="s">
        <v>758</v>
      </c>
      <c r="Q55" s="681">
        <f>'BKFC Inputs'!G65</f>
        <v>2000</v>
      </c>
      <c r="R55" s="681"/>
      <c r="S55" s="681"/>
      <c r="U55" s="679" t="s">
        <v>758</v>
      </c>
      <c r="V55" s="681">
        <f>'BKFC Inputs'!G78</f>
        <v>2500</v>
      </c>
      <c r="W55" s="681"/>
      <c r="X55" s="681"/>
      <c r="Z55" s="679" t="s">
        <v>758</v>
      </c>
      <c r="AA55" s="681">
        <f>'BKFC Inputs'!G91</f>
        <v>0</v>
      </c>
      <c r="AB55" s="681"/>
      <c r="AC55" s="681"/>
      <c r="AE55" s="679" t="s">
        <v>758</v>
      </c>
      <c r="AF55" s="681">
        <f>'BKFC Inputs'!G104</f>
        <v>3000</v>
      </c>
      <c r="AG55" s="681"/>
      <c r="AH55" s="681"/>
      <c r="AJ55" s="679" t="s">
        <v>758</v>
      </c>
      <c r="AK55" s="681">
        <f>'BKFC Inputs'!G117</f>
        <v>4000</v>
      </c>
      <c r="AL55" s="681"/>
      <c r="AM55" s="681"/>
      <c r="AO55" s="679" t="s">
        <v>758</v>
      </c>
      <c r="AP55" s="681">
        <f>'BKFC Inputs'!G130</f>
        <v>0</v>
      </c>
      <c r="AQ55" s="681"/>
      <c r="AR55" s="681"/>
      <c r="AT55" s="679" t="s">
        <v>758</v>
      </c>
      <c r="AU55" s="681">
        <f>'BKFC Inputs'!G143</f>
        <v>3500</v>
      </c>
      <c r="AV55" s="681"/>
      <c r="AW55" s="681"/>
      <c r="AY55" s="679" t="s">
        <v>758</v>
      </c>
      <c r="AZ55" s="681">
        <f>'BKFC Inputs'!G156</f>
        <v>5000</v>
      </c>
      <c r="BA55" s="681"/>
      <c r="BB55" s="681"/>
      <c r="BD55" s="679" t="s">
        <v>758</v>
      </c>
      <c r="BE55" s="681">
        <f>'BKFC Inputs'!G169</f>
        <v>0</v>
      </c>
      <c r="BF55" s="681"/>
      <c r="BG55" s="681"/>
      <c r="BI55" s="679" t="s">
        <v>758</v>
      </c>
      <c r="BJ55" s="681">
        <f>'BKFC Inputs'!G182</f>
        <v>4000</v>
      </c>
      <c r="BK55" s="681"/>
      <c r="BL55" s="681"/>
      <c r="BN55" s="679" t="s">
        <v>758</v>
      </c>
      <c r="BO55" s="681">
        <f>'BKFC Inputs'!G195</f>
        <v>6000</v>
      </c>
      <c r="BP55" s="681"/>
      <c r="BQ55" s="681"/>
      <c r="BS55" s="679" t="s">
        <v>758</v>
      </c>
      <c r="BT55" s="681">
        <f>'BKFC Inputs'!G208</f>
        <v>0</v>
      </c>
      <c r="BU55" s="681"/>
      <c r="BV55" s="681"/>
    </row>
    <row r="56" spans="1:74" ht="17" thickBot="1">
      <c r="A56" s="682" t="s">
        <v>188</v>
      </c>
      <c r="B56" s="681">
        <f>'BKFC Inputs'!I26</f>
        <v>40</v>
      </c>
      <c r="C56" s="681"/>
      <c r="D56" s="683"/>
      <c r="E56" s="668"/>
      <c r="F56" s="682" t="s">
        <v>188</v>
      </c>
      <c r="G56" s="681">
        <f>'BKFC Inputs'!I39</f>
        <v>40</v>
      </c>
      <c r="H56" s="681"/>
      <c r="I56" s="683"/>
      <c r="J56" s="668"/>
      <c r="K56" s="682" t="s">
        <v>188</v>
      </c>
      <c r="L56" s="681">
        <f>'BKFC Inputs'!I52</f>
        <v>0</v>
      </c>
      <c r="M56" s="681"/>
      <c r="N56" s="683"/>
      <c r="O56" s="668"/>
      <c r="P56" s="682" t="s">
        <v>188</v>
      </c>
      <c r="Q56" s="681">
        <f>'BKFC Inputs'!I65</f>
        <v>40</v>
      </c>
      <c r="R56" s="681"/>
      <c r="S56" s="683"/>
      <c r="U56" s="682" t="s">
        <v>188</v>
      </c>
      <c r="V56" s="681">
        <f>'BKFC Inputs'!I78</f>
        <v>40</v>
      </c>
      <c r="W56" s="681"/>
      <c r="X56" s="683"/>
      <c r="Z56" s="682" t="s">
        <v>188</v>
      </c>
      <c r="AA56" s="681">
        <f>'BKFC Inputs'!I91</f>
        <v>0</v>
      </c>
      <c r="AB56" s="681"/>
      <c r="AC56" s="683"/>
      <c r="AE56" s="682" t="s">
        <v>188</v>
      </c>
      <c r="AF56" s="681">
        <f>'BKFC Inputs'!I104</f>
        <v>40</v>
      </c>
      <c r="AG56" s="681"/>
      <c r="AH56" s="683"/>
      <c r="AJ56" s="682" t="s">
        <v>188</v>
      </c>
      <c r="AK56" s="681">
        <f>'BKFC Inputs'!I117</f>
        <v>40</v>
      </c>
      <c r="AL56" s="681"/>
      <c r="AM56" s="683"/>
      <c r="AO56" s="682" t="s">
        <v>188</v>
      </c>
      <c r="AP56" s="681">
        <f>'BKFC Inputs'!I130</f>
        <v>0</v>
      </c>
      <c r="AQ56" s="681"/>
      <c r="AR56" s="683"/>
      <c r="AT56" s="682" t="s">
        <v>188</v>
      </c>
      <c r="AU56" s="681">
        <f>'BKFC Inputs'!I143</f>
        <v>40</v>
      </c>
      <c r="AV56" s="681"/>
      <c r="AW56" s="683"/>
      <c r="AY56" s="682" t="s">
        <v>188</v>
      </c>
      <c r="AZ56" s="681">
        <f>'BKFC Inputs'!I156</f>
        <v>40</v>
      </c>
      <c r="BA56" s="681"/>
      <c r="BB56" s="683"/>
      <c r="BD56" s="682" t="s">
        <v>188</v>
      </c>
      <c r="BE56" s="681">
        <f>'BKFC Inputs'!I169</f>
        <v>0</v>
      </c>
      <c r="BF56" s="681"/>
      <c r="BG56" s="683"/>
      <c r="BI56" s="682" t="s">
        <v>188</v>
      </c>
      <c r="BJ56" s="681">
        <f>'BKFC Inputs'!I182</f>
        <v>40</v>
      </c>
      <c r="BK56" s="681"/>
      <c r="BL56" s="683"/>
      <c r="BN56" s="682" t="s">
        <v>188</v>
      </c>
      <c r="BO56" s="681">
        <f>'BKFC Inputs'!I195</f>
        <v>40</v>
      </c>
      <c r="BP56" s="681"/>
      <c r="BQ56" s="683"/>
      <c r="BS56" s="682" t="s">
        <v>188</v>
      </c>
      <c r="BT56" s="681">
        <f>'BKFC Inputs'!I208</f>
        <v>0</v>
      </c>
      <c r="BU56" s="681"/>
      <c r="BV56" s="683"/>
    </row>
    <row r="57" spans="1:74" ht="16" thickBot="1">
      <c r="A57" s="679" t="s">
        <v>759</v>
      </c>
      <c r="B57" s="680">
        <f>B55*B56</f>
        <v>64000</v>
      </c>
      <c r="C57" s="684"/>
      <c r="D57" s="685"/>
      <c r="E57" s="668"/>
      <c r="F57" s="679" t="s">
        <v>759</v>
      </c>
      <c r="G57" s="680">
        <f>G55*G56</f>
        <v>80000</v>
      </c>
      <c r="H57" s="684"/>
      <c r="I57" s="685"/>
      <c r="J57" s="668"/>
      <c r="K57" s="679" t="s">
        <v>759</v>
      </c>
      <c r="L57" s="680">
        <f>L55*L56</f>
        <v>0</v>
      </c>
      <c r="M57" s="684"/>
      <c r="N57" s="685"/>
      <c r="O57" s="668"/>
      <c r="P57" s="679" t="s">
        <v>759</v>
      </c>
      <c r="Q57" s="680">
        <f>Q55*Q56</f>
        <v>80000</v>
      </c>
      <c r="R57" s="684"/>
      <c r="S57" s="685"/>
      <c r="U57" s="679" t="s">
        <v>759</v>
      </c>
      <c r="V57" s="680">
        <f>V55*V56</f>
        <v>100000</v>
      </c>
      <c r="W57" s="684"/>
      <c r="X57" s="685"/>
      <c r="Z57" s="679" t="s">
        <v>759</v>
      </c>
      <c r="AA57" s="680">
        <f>AA55*AA56</f>
        <v>0</v>
      </c>
      <c r="AB57" s="684"/>
      <c r="AC57" s="685"/>
      <c r="AE57" s="679" t="s">
        <v>759</v>
      </c>
      <c r="AF57" s="680">
        <f>AF55*AF56</f>
        <v>120000</v>
      </c>
      <c r="AG57" s="684"/>
      <c r="AH57" s="685"/>
      <c r="AJ57" s="679" t="s">
        <v>759</v>
      </c>
      <c r="AK57" s="680">
        <f>AK55*AK56</f>
        <v>160000</v>
      </c>
      <c r="AL57" s="684"/>
      <c r="AM57" s="685"/>
      <c r="AO57" s="679" t="s">
        <v>759</v>
      </c>
      <c r="AP57" s="680">
        <f>AP55*AP56</f>
        <v>0</v>
      </c>
      <c r="AQ57" s="684"/>
      <c r="AR57" s="685"/>
      <c r="AT57" s="679" t="s">
        <v>759</v>
      </c>
      <c r="AU57" s="680">
        <f>AU55*AU56</f>
        <v>140000</v>
      </c>
      <c r="AV57" s="684"/>
      <c r="AW57" s="685"/>
      <c r="AY57" s="679" t="s">
        <v>759</v>
      </c>
      <c r="AZ57" s="680">
        <f>AZ55*AZ56</f>
        <v>200000</v>
      </c>
      <c r="BA57" s="684"/>
      <c r="BB57" s="685"/>
      <c r="BD57" s="679" t="s">
        <v>759</v>
      </c>
      <c r="BE57" s="680">
        <f>BE55*BE56</f>
        <v>0</v>
      </c>
      <c r="BF57" s="684"/>
      <c r="BG57" s="685"/>
      <c r="BI57" s="679" t="s">
        <v>759</v>
      </c>
      <c r="BJ57" s="680">
        <f>BJ55*BJ56</f>
        <v>160000</v>
      </c>
      <c r="BK57" s="684"/>
      <c r="BL57" s="685"/>
      <c r="BN57" s="679" t="s">
        <v>759</v>
      </c>
      <c r="BO57" s="680">
        <f>BO55*BO56</f>
        <v>240000</v>
      </c>
      <c r="BP57" s="684"/>
      <c r="BQ57" s="685"/>
      <c r="BS57" s="679" t="s">
        <v>759</v>
      </c>
      <c r="BT57" s="680">
        <f>BT55*BT56</f>
        <v>0</v>
      </c>
      <c r="BU57" s="684"/>
      <c r="BV57" s="685"/>
    </row>
    <row r="58" spans="1:74" ht="16" thickBot="1">
      <c r="A58" s="679" t="s">
        <v>192</v>
      </c>
      <c r="B58" s="681">
        <f>'BKFC Inputs'!K26</f>
        <v>1</v>
      </c>
      <c r="C58" s="684"/>
      <c r="D58" s="686"/>
      <c r="E58" s="668"/>
      <c r="F58" s="679" t="s">
        <v>192</v>
      </c>
      <c r="G58" s="681">
        <f>'BKFC Inputs'!K39</f>
        <v>1</v>
      </c>
      <c r="H58" s="684"/>
      <c r="I58" s="686"/>
      <c r="J58" s="668"/>
      <c r="K58" s="679" t="s">
        <v>192</v>
      </c>
      <c r="L58" s="681">
        <f>'BKFC Inputs'!K52</f>
        <v>0</v>
      </c>
      <c r="M58" s="684"/>
      <c r="N58" s="686"/>
      <c r="O58" s="668"/>
      <c r="P58" s="679" t="s">
        <v>192</v>
      </c>
      <c r="Q58" s="681">
        <f>'BKFC Inputs'!K65</f>
        <v>1</v>
      </c>
      <c r="R58" s="684"/>
      <c r="S58" s="686"/>
      <c r="U58" s="679" t="s">
        <v>192</v>
      </c>
      <c r="V58" s="681">
        <f>'BKFC Inputs'!K78</f>
        <v>1</v>
      </c>
      <c r="W58" s="684"/>
      <c r="X58" s="686"/>
      <c r="Z58" s="679" t="s">
        <v>192</v>
      </c>
      <c r="AA58" s="681">
        <f>'BKFC Inputs'!K91</f>
        <v>0</v>
      </c>
      <c r="AB58" s="684"/>
      <c r="AC58" s="686"/>
      <c r="AE58" s="679" t="s">
        <v>192</v>
      </c>
      <c r="AF58" s="681">
        <f>'BKFC Inputs'!K104</f>
        <v>1</v>
      </c>
      <c r="AG58" s="684"/>
      <c r="AH58" s="686"/>
      <c r="AJ58" s="679" t="s">
        <v>192</v>
      </c>
      <c r="AK58" s="681">
        <f>'BKFC Inputs'!K117</f>
        <v>1</v>
      </c>
      <c r="AL58" s="684"/>
      <c r="AM58" s="686"/>
      <c r="AO58" s="679" t="s">
        <v>192</v>
      </c>
      <c r="AP58" s="681">
        <f>'BKFC Inputs'!K130</f>
        <v>0</v>
      </c>
      <c r="AQ58" s="684"/>
      <c r="AR58" s="686"/>
      <c r="AT58" s="679" t="s">
        <v>192</v>
      </c>
      <c r="AU58" s="681">
        <f>'BKFC Inputs'!K143</f>
        <v>1</v>
      </c>
      <c r="AV58" s="684"/>
      <c r="AW58" s="686"/>
      <c r="AY58" s="679" t="s">
        <v>192</v>
      </c>
      <c r="AZ58" s="681" t="e">
        <f>'BKFC Inputs'!#REF!</f>
        <v>#REF!</v>
      </c>
      <c r="BA58" s="684"/>
      <c r="BB58" s="686"/>
      <c r="BD58" s="679" t="s">
        <v>192</v>
      </c>
      <c r="BE58" s="681">
        <f>'BKFC Inputs'!K169</f>
        <v>0</v>
      </c>
      <c r="BF58" s="684"/>
      <c r="BG58" s="686"/>
      <c r="BI58" s="679" t="s">
        <v>192</v>
      </c>
      <c r="BJ58" s="681">
        <f>'BKFC Inputs'!K182</f>
        <v>1</v>
      </c>
      <c r="BK58" s="684"/>
      <c r="BL58" s="686"/>
      <c r="BN58" s="679" t="s">
        <v>192</v>
      </c>
      <c r="BO58" s="681">
        <f>'BKFC Inputs'!K195</f>
        <v>1</v>
      </c>
      <c r="BP58" s="684"/>
      <c r="BQ58" s="686"/>
      <c r="BS58" s="679" t="s">
        <v>192</v>
      </c>
      <c r="BT58" s="681">
        <f>'BKFC Inputs'!K208</f>
        <v>0</v>
      </c>
      <c r="BU58" s="684"/>
      <c r="BV58" s="686"/>
    </row>
    <row r="59" spans="1:74" ht="16" thickBot="1">
      <c r="A59" s="687" t="s">
        <v>195</v>
      </c>
      <c r="B59" s="681">
        <f>'BKFC Inputs'!M26</f>
        <v>30</v>
      </c>
      <c r="C59" s="681"/>
      <c r="D59" s="681"/>
      <c r="E59" s="668"/>
      <c r="F59" s="687" t="s">
        <v>195</v>
      </c>
      <c r="G59" s="681">
        <f>'BKFC Inputs'!M39</f>
        <v>30</v>
      </c>
      <c r="H59" s="681"/>
      <c r="I59" s="681"/>
      <c r="J59" s="668"/>
      <c r="K59" s="687" t="s">
        <v>195</v>
      </c>
      <c r="L59" s="681">
        <f>'BKFC Inputs'!M52</f>
        <v>0</v>
      </c>
      <c r="M59" s="681"/>
      <c r="N59" s="681"/>
      <c r="O59" s="668"/>
      <c r="P59" s="687" t="s">
        <v>195</v>
      </c>
      <c r="Q59" s="681">
        <f>'BKFC Inputs'!M65</f>
        <v>30</v>
      </c>
      <c r="R59" s="681"/>
      <c r="S59" s="681"/>
      <c r="U59" s="687" t="s">
        <v>195</v>
      </c>
      <c r="V59" s="681">
        <f>'BKFC Inputs'!M78</f>
        <v>30</v>
      </c>
      <c r="W59" s="681"/>
      <c r="X59" s="681"/>
      <c r="Z59" s="687" t="s">
        <v>195</v>
      </c>
      <c r="AA59" s="681">
        <f>'BKFC Inputs'!M91</f>
        <v>0</v>
      </c>
      <c r="AB59" s="681"/>
      <c r="AC59" s="681"/>
      <c r="AE59" s="687" t="s">
        <v>195</v>
      </c>
      <c r="AF59" s="681">
        <f>'BKFC Inputs'!M104</f>
        <v>30</v>
      </c>
      <c r="AG59" s="681"/>
      <c r="AH59" s="681"/>
      <c r="AJ59" s="687" t="s">
        <v>195</v>
      </c>
      <c r="AK59" s="681">
        <f>'BKFC Inputs'!M117</f>
        <v>30</v>
      </c>
      <c r="AL59" s="681"/>
      <c r="AM59" s="681"/>
      <c r="AO59" s="687" t="s">
        <v>195</v>
      </c>
      <c r="AP59" s="681">
        <f>'BKFC Inputs'!M130</f>
        <v>0</v>
      </c>
      <c r="AQ59" s="681"/>
      <c r="AR59" s="681"/>
      <c r="AT59" s="687" t="s">
        <v>195</v>
      </c>
      <c r="AU59" s="681">
        <f>'BKFC Inputs'!M143</f>
        <v>30</v>
      </c>
      <c r="AV59" s="681"/>
      <c r="AW59" s="681"/>
      <c r="AY59" s="687" t="s">
        <v>195</v>
      </c>
      <c r="AZ59" s="681" t="e">
        <f>'BKFC Inputs'!#REF!</f>
        <v>#REF!</v>
      </c>
      <c r="BA59" s="681"/>
      <c r="BB59" s="681"/>
      <c r="BD59" s="687" t="s">
        <v>195</v>
      </c>
      <c r="BE59" s="681">
        <f>'BKFC Inputs'!M169</f>
        <v>0</v>
      </c>
      <c r="BF59" s="681"/>
      <c r="BG59" s="681"/>
      <c r="BI59" s="687" t="s">
        <v>195</v>
      </c>
      <c r="BJ59" s="681">
        <f>'BKFC Inputs'!M182</f>
        <v>30</v>
      </c>
      <c r="BK59" s="681"/>
      <c r="BL59" s="681"/>
      <c r="BN59" s="687" t="s">
        <v>195</v>
      </c>
      <c r="BO59" s="681">
        <f>'BKFC Inputs'!M195</f>
        <v>30</v>
      </c>
      <c r="BP59" s="681"/>
      <c r="BQ59" s="681"/>
      <c r="BS59" s="687" t="s">
        <v>195</v>
      </c>
      <c r="BT59" s="681">
        <f>'BKFC Inputs'!M208</f>
        <v>0</v>
      </c>
      <c r="BU59" s="681"/>
      <c r="BV59" s="681"/>
    </row>
    <row r="60" spans="1:74" ht="16" thickBot="1">
      <c r="A60" s="679" t="s">
        <v>761</v>
      </c>
      <c r="B60" s="680">
        <f>B57*B58</f>
        <v>64000</v>
      </c>
      <c r="C60" s="681"/>
      <c r="D60" s="681"/>
      <c r="E60" s="668"/>
      <c r="F60" s="679" t="s">
        <v>761</v>
      </c>
      <c r="G60" s="680">
        <f>G57*G58</f>
        <v>80000</v>
      </c>
      <c r="H60" s="681"/>
      <c r="I60" s="681"/>
      <c r="J60" s="668"/>
      <c r="K60" s="679" t="s">
        <v>761</v>
      </c>
      <c r="L60" s="680">
        <f>L57*L58</f>
        <v>0</v>
      </c>
      <c r="M60" s="681"/>
      <c r="N60" s="681"/>
      <c r="O60" s="668"/>
      <c r="P60" s="679" t="s">
        <v>761</v>
      </c>
      <c r="Q60" s="680">
        <f>Q57*Q58</f>
        <v>80000</v>
      </c>
      <c r="R60" s="681"/>
      <c r="S60" s="681"/>
      <c r="U60" s="679" t="s">
        <v>761</v>
      </c>
      <c r="V60" s="680">
        <f>V57*V58</f>
        <v>100000</v>
      </c>
      <c r="W60" s="681"/>
      <c r="X60" s="681"/>
      <c r="Z60" s="679" t="s">
        <v>761</v>
      </c>
      <c r="AA60" s="680">
        <f>AA57*AA58</f>
        <v>0</v>
      </c>
      <c r="AB60" s="681"/>
      <c r="AC60" s="681"/>
      <c r="AE60" s="679" t="s">
        <v>761</v>
      </c>
      <c r="AF60" s="680">
        <f>AF57*AF58</f>
        <v>120000</v>
      </c>
      <c r="AG60" s="681"/>
      <c r="AH60" s="681"/>
      <c r="AJ60" s="679" t="s">
        <v>761</v>
      </c>
      <c r="AK60" s="680">
        <f>AK57*AK58</f>
        <v>160000</v>
      </c>
      <c r="AL60" s="681"/>
      <c r="AM60" s="681"/>
      <c r="AO60" s="679" t="s">
        <v>761</v>
      </c>
      <c r="AP60" s="680">
        <f>AP57*AP58</f>
        <v>0</v>
      </c>
      <c r="AQ60" s="681"/>
      <c r="AR60" s="681"/>
      <c r="AT60" s="679" t="s">
        <v>761</v>
      </c>
      <c r="AU60" s="680">
        <f>AU57*AU58</f>
        <v>140000</v>
      </c>
      <c r="AV60" s="681"/>
      <c r="AW60" s="681"/>
      <c r="AY60" s="679" t="s">
        <v>761</v>
      </c>
      <c r="AZ60" s="680" t="e">
        <f>AZ57*AZ58</f>
        <v>#REF!</v>
      </c>
      <c r="BA60" s="681"/>
      <c r="BB60" s="681"/>
      <c r="BD60" s="679" t="s">
        <v>761</v>
      </c>
      <c r="BE60" s="680">
        <f>BE57*BE58</f>
        <v>0</v>
      </c>
      <c r="BF60" s="681"/>
      <c r="BG60" s="681"/>
      <c r="BI60" s="679" t="s">
        <v>761</v>
      </c>
      <c r="BJ60" s="680">
        <f>BJ57*BJ58</f>
        <v>160000</v>
      </c>
      <c r="BK60" s="681"/>
      <c r="BL60" s="681"/>
      <c r="BN60" s="679" t="s">
        <v>761</v>
      </c>
      <c r="BO60" s="680">
        <f>BO57*BO58</f>
        <v>240000</v>
      </c>
      <c r="BP60" s="681"/>
      <c r="BQ60" s="681"/>
      <c r="BS60" s="679" t="s">
        <v>761</v>
      </c>
      <c r="BT60" s="680">
        <f>BT57*BT58</f>
        <v>0</v>
      </c>
      <c r="BU60" s="681"/>
      <c r="BV60" s="681"/>
    </row>
    <row r="61" spans="1:74" ht="16" thickBot="1">
      <c r="A61" s="679" t="s">
        <v>762</v>
      </c>
      <c r="B61" s="680">
        <f>B60*B59</f>
        <v>1920000</v>
      </c>
      <c r="C61" s="681"/>
      <c r="D61" s="681"/>
      <c r="E61" s="668"/>
      <c r="F61" s="679" t="s">
        <v>762</v>
      </c>
      <c r="G61" s="680">
        <f>G60*G59</f>
        <v>2400000</v>
      </c>
      <c r="H61" s="681"/>
      <c r="I61" s="681"/>
      <c r="J61" s="668"/>
      <c r="K61" s="679" t="s">
        <v>762</v>
      </c>
      <c r="L61" s="680">
        <f>L60*L59</f>
        <v>0</v>
      </c>
      <c r="M61" s="681"/>
      <c r="N61" s="681"/>
      <c r="O61" s="668"/>
      <c r="P61" s="679" t="s">
        <v>762</v>
      </c>
      <c r="Q61" s="680">
        <f>Q60*Q59</f>
        <v>2400000</v>
      </c>
      <c r="R61" s="681"/>
      <c r="S61" s="681"/>
      <c r="U61" s="679" t="s">
        <v>762</v>
      </c>
      <c r="V61" s="680">
        <f>V60*V59</f>
        <v>3000000</v>
      </c>
      <c r="W61" s="681"/>
      <c r="X61" s="681"/>
      <c r="Z61" s="679" t="s">
        <v>762</v>
      </c>
      <c r="AA61" s="680">
        <f>AA60*AA59</f>
        <v>0</v>
      </c>
      <c r="AB61" s="681"/>
      <c r="AC61" s="681"/>
      <c r="AE61" s="679" t="s">
        <v>762</v>
      </c>
      <c r="AF61" s="680">
        <f>AF60*AF59</f>
        <v>3600000</v>
      </c>
      <c r="AG61" s="681"/>
      <c r="AH61" s="681"/>
      <c r="AJ61" s="679" t="s">
        <v>762</v>
      </c>
      <c r="AK61" s="680">
        <f>AK60*AK59</f>
        <v>4800000</v>
      </c>
      <c r="AL61" s="681"/>
      <c r="AM61" s="681"/>
      <c r="AO61" s="679" t="s">
        <v>762</v>
      </c>
      <c r="AP61" s="680">
        <f>AP60*AP59</f>
        <v>0</v>
      </c>
      <c r="AQ61" s="681"/>
      <c r="AR61" s="681"/>
      <c r="AT61" s="679" t="s">
        <v>762</v>
      </c>
      <c r="AU61" s="680">
        <f>AU60*AU59</f>
        <v>4200000</v>
      </c>
      <c r="AV61" s="681"/>
      <c r="AW61" s="681"/>
      <c r="AY61" s="679" t="s">
        <v>762</v>
      </c>
      <c r="AZ61" s="680" t="e">
        <f>AZ60*AZ59</f>
        <v>#REF!</v>
      </c>
      <c r="BA61" s="681"/>
      <c r="BB61" s="681"/>
      <c r="BD61" s="679" t="s">
        <v>762</v>
      </c>
      <c r="BE61" s="680">
        <f>BE60*BE59</f>
        <v>0</v>
      </c>
      <c r="BF61" s="681"/>
      <c r="BG61" s="681"/>
      <c r="BI61" s="679" t="s">
        <v>762</v>
      </c>
      <c r="BJ61" s="680">
        <f>BJ60*BJ59</f>
        <v>4800000</v>
      </c>
      <c r="BK61" s="681"/>
      <c r="BL61" s="681"/>
      <c r="BN61" s="679" t="s">
        <v>762</v>
      </c>
      <c r="BO61" s="680">
        <f>BO60*BO59</f>
        <v>7200000</v>
      </c>
      <c r="BP61" s="681"/>
      <c r="BQ61" s="681"/>
      <c r="BS61" s="679" t="s">
        <v>762</v>
      </c>
      <c r="BT61" s="680">
        <f>BT60*BT59</f>
        <v>0</v>
      </c>
      <c r="BU61" s="681"/>
      <c r="BV61" s="681"/>
    </row>
    <row r="62" spans="1:74" ht="16" thickBot="1">
      <c r="A62" s="679" t="s">
        <v>763</v>
      </c>
      <c r="B62" s="688">
        <f>C66/B61</f>
        <v>0.24983333333333332</v>
      </c>
      <c r="C62" s="681"/>
      <c r="D62" s="689"/>
      <c r="E62" s="668"/>
      <c r="F62" s="679" t="s">
        <v>763</v>
      </c>
      <c r="G62" s="688">
        <f>H66/G61</f>
        <v>0.33316666666666667</v>
      </c>
      <c r="H62" s="681"/>
      <c r="I62" s="689"/>
      <c r="J62" s="668"/>
      <c r="K62" s="679" t="s">
        <v>763</v>
      </c>
      <c r="L62" s="688" t="e">
        <f>M66/L61</f>
        <v>#DIV/0!</v>
      </c>
      <c r="M62" s="681"/>
      <c r="N62" s="689"/>
      <c r="O62" s="668"/>
      <c r="P62" s="679" t="s">
        <v>763</v>
      </c>
      <c r="Q62" s="688">
        <f>R66/Q61</f>
        <v>0.26650000000000001</v>
      </c>
      <c r="R62" s="681"/>
      <c r="S62" s="689"/>
      <c r="U62" s="679" t="s">
        <v>763</v>
      </c>
      <c r="V62" s="688">
        <f>W66/V61</f>
        <v>0.36649999999999999</v>
      </c>
      <c r="W62" s="681"/>
      <c r="X62" s="689"/>
      <c r="Z62" s="679" t="s">
        <v>763</v>
      </c>
      <c r="AA62" s="688" t="e">
        <f>AB66/AA61</f>
        <v>#DIV/0!</v>
      </c>
      <c r="AB62" s="681"/>
      <c r="AC62" s="689"/>
      <c r="AE62" s="679" t="s">
        <v>763</v>
      </c>
      <c r="AF62" s="688">
        <f>AG66/AF61</f>
        <v>0.28316666666666668</v>
      </c>
      <c r="AG62" s="681"/>
      <c r="AH62" s="689"/>
      <c r="AJ62" s="679" t="s">
        <v>763</v>
      </c>
      <c r="AK62" s="688">
        <f>AL66/AK61</f>
        <v>0.39983333333333332</v>
      </c>
      <c r="AL62" s="681"/>
      <c r="AM62" s="689"/>
      <c r="AO62" s="679" t="s">
        <v>763</v>
      </c>
      <c r="AP62" s="688" t="e">
        <f>AQ66/AP61</f>
        <v>#DIV/0!</v>
      </c>
      <c r="AQ62" s="681"/>
      <c r="AR62" s="689"/>
      <c r="AT62" s="679" t="s">
        <v>763</v>
      </c>
      <c r="AU62" s="688">
        <f>AV66/AU61</f>
        <v>0.28316666666666668</v>
      </c>
      <c r="AV62" s="681"/>
      <c r="AW62" s="689"/>
      <c r="AY62" s="679" t="s">
        <v>763</v>
      </c>
      <c r="AZ62" s="688" t="e">
        <f>BA66/AZ61</f>
        <v>#REF!</v>
      </c>
      <c r="BA62" s="681"/>
      <c r="BB62" s="689"/>
      <c r="BD62" s="679" t="s">
        <v>763</v>
      </c>
      <c r="BE62" s="688" t="e">
        <f>BF66/BE61</f>
        <v>#DIV/0!</v>
      </c>
      <c r="BF62" s="681"/>
      <c r="BG62" s="689"/>
      <c r="BI62" s="679" t="s">
        <v>763</v>
      </c>
      <c r="BJ62" s="688">
        <f>BK66/BJ61</f>
        <v>0.28316666666666668</v>
      </c>
      <c r="BK62" s="681"/>
      <c r="BL62" s="689"/>
      <c r="BN62" s="679" t="s">
        <v>763</v>
      </c>
      <c r="BO62" s="688">
        <f>BP66/BO61</f>
        <v>0.39983333333333332</v>
      </c>
      <c r="BP62" s="681"/>
      <c r="BQ62" s="689"/>
      <c r="BS62" s="679" t="s">
        <v>763</v>
      </c>
      <c r="BT62" s="688" t="e">
        <f>BU66/BT61</f>
        <v>#DIV/0!</v>
      </c>
      <c r="BU62" s="681"/>
      <c r="BV62" s="689"/>
    </row>
    <row r="63" spans="1:74" ht="16" thickBot="1">
      <c r="A63" s="690"/>
      <c r="B63" s="691" t="s">
        <v>250</v>
      </c>
      <c r="C63" s="691" t="s">
        <v>764</v>
      </c>
      <c r="D63" s="691" t="s">
        <v>18</v>
      </c>
      <c r="E63" s="668"/>
      <c r="F63" s="690"/>
      <c r="G63" s="691" t="s">
        <v>250</v>
      </c>
      <c r="H63" s="691" t="s">
        <v>764</v>
      </c>
      <c r="I63" s="691" t="s">
        <v>18</v>
      </c>
      <c r="J63" s="668"/>
      <c r="K63" s="690"/>
      <c r="L63" s="691" t="s">
        <v>250</v>
      </c>
      <c r="M63" s="691" t="s">
        <v>764</v>
      </c>
      <c r="N63" s="691" t="s">
        <v>18</v>
      </c>
      <c r="O63" s="668"/>
      <c r="P63" s="690"/>
      <c r="Q63" s="691" t="s">
        <v>250</v>
      </c>
      <c r="R63" s="691" t="s">
        <v>764</v>
      </c>
      <c r="S63" s="691" t="s">
        <v>18</v>
      </c>
      <c r="U63" s="690"/>
      <c r="V63" s="691" t="s">
        <v>250</v>
      </c>
      <c r="W63" s="691" t="s">
        <v>764</v>
      </c>
      <c r="X63" s="691" t="s">
        <v>18</v>
      </c>
      <c r="Z63" s="690"/>
      <c r="AA63" s="691" t="s">
        <v>250</v>
      </c>
      <c r="AB63" s="691" t="s">
        <v>764</v>
      </c>
      <c r="AC63" s="691" t="s">
        <v>18</v>
      </c>
      <c r="AE63" s="690"/>
      <c r="AF63" s="691" t="s">
        <v>250</v>
      </c>
      <c r="AG63" s="691" t="s">
        <v>764</v>
      </c>
      <c r="AH63" s="691" t="s">
        <v>18</v>
      </c>
      <c r="AJ63" s="690"/>
      <c r="AK63" s="691" t="s">
        <v>250</v>
      </c>
      <c r="AL63" s="691" t="s">
        <v>764</v>
      </c>
      <c r="AM63" s="691" t="s">
        <v>18</v>
      </c>
      <c r="AO63" s="690"/>
      <c r="AP63" s="691" t="s">
        <v>250</v>
      </c>
      <c r="AQ63" s="691" t="s">
        <v>764</v>
      </c>
      <c r="AR63" s="691" t="s">
        <v>18</v>
      </c>
      <c r="AT63" s="690"/>
      <c r="AU63" s="691" t="s">
        <v>250</v>
      </c>
      <c r="AV63" s="691" t="s">
        <v>764</v>
      </c>
      <c r="AW63" s="691" t="s">
        <v>18</v>
      </c>
      <c r="AY63" s="690"/>
      <c r="AZ63" s="691" t="s">
        <v>250</v>
      </c>
      <c r="BA63" s="691" t="s">
        <v>764</v>
      </c>
      <c r="BB63" s="691" t="s">
        <v>18</v>
      </c>
      <c r="BD63" s="690"/>
      <c r="BE63" s="691" t="s">
        <v>250</v>
      </c>
      <c r="BF63" s="691" t="s">
        <v>764</v>
      </c>
      <c r="BG63" s="691" t="s">
        <v>18</v>
      </c>
      <c r="BI63" s="690"/>
      <c r="BJ63" s="691" t="s">
        <v>250</v>
      </c>
      <c r="BK63" s="691" t="s">
        <v>764</v>
      </c>
      <c r="BL63" s="691" t="s">
        <v>18</v>
      </c>
      <c r="BN63" s="690"/>
      <c r="BO63" s="691" t="s">
        <v>250</v>
      </c>
      <c r="BP63" s="691" t="s">
        <v>764</v>
      </c>
      <c r="BQ63" s="691" t="s">
        <v>18</v>
      </c>
      <c r="BS63" s="690"/>
      <c r="BT63" s="691" t="s">
        <v>250</v>
      </c>
      <c r="BU63" s="691" t="s">
        <v>764</v>
      </c>
      <c r="BV63" s="691" t="s">
        <v>18</v>
      </c>
    </row>
    <row r="64" spans="1:74" ht="16" thickBot="1">
      <c r="A64" s="692" t="s">
        <v>765</v>
      </c>
      <c r="B64" s="693">
        <f>ROUND(C64*$B$89,2)</f>
        <v>3.53</v>
      </c>
      <c r="C64" s="694">
        <f>ROUND(D64*'BKFC Inputs'!$G$11,2)</f>
        <v>7.5</v>
      </c>
      <c r="D64" s="694">
        <f>C53</f>
        <v>14.99</v>
      </c>
      <c r="E64" s="668"/>
      <c r="F64" s="692" t="s">
        <v>765</v>
      </c>
      <c r="G64" s="693">
        <f>ROUND(H64*$B$89,2)</f>
        <v>4.7</v>
      </c>
      <c r="H64" s="694">
        <f>ROUND(I64*'BKFC Inputs'!$G$11,2)</f>
        <v>10</v>
      </c>
      <c r="I64" s="694">
        <f>H53</f>
        <v>19.989999999999998</v>
      </c>
      <c r="J64" s="668"/>
      <c r="K64" s="692" t="s">
        <v>765</v>
      </c>
      <c r="L64" s="693">
        <f>ROUND(M64*$B$89,2)</f>
        <v>0</v>
      </c>
      <c r="M64" s="694">
        <f>ROUND(N64*'BKFC Inputs'!$G$11,2)</f>
        <v>0</v>
      </c>
      <c r="N64" s="694">
        <f>M53</f>
        <v>0</v>
      </c>
      <c r="O64" s="668"/>
      <c r="P64" s="692" t="s">
        <v>765</v>
      </c>
      <c r="Q64" s="693">
        <f>ROUND(R64*$B$89,2)</f>
        <v>3.76</v>
      </c>
      <c r="R64" s="694">
        <f>ROUND(S64*'BKFC Inputs'!$G$11,2)</f>
        <v>8</v>
      </c>
      <c r="S64" s="694">
        <f>R53</f>
        <v>15.99</v>
      </c>
      <c r="U64" s="692" t="s">
        <v>765</v>
      </c>
      <c r="V64" s="693">
        <f>ROUND(W64*$B$89,2)</f>
        <v>5.17</v>
      </c>
      <c r="W64" s="694">
        <f>ROUND(X64*'BKFC Inputs'!$G$11,2)</f>
        <v>11</v>
      </c>
      <c r="X64" s="694">
        <f>W53</f>
        <v>21.99</v>
      </c>
      <c r="Z64" s="692" t="s">
        <v>765</v>
      </c>
      <c r="AA64" s="693">
        <f>ROUND(AB64*$B$89,2)</f>
        <v>0</v>
      </c>
      <c r="AB64" s="694">
        <f>ROUND(AC64*'BKFC Inputs'!$G$11,2)</f>
        <v>0</v>
      </c>
      <c r="AC64" s="694">
        <f>AB53</f>
        <v>0</v>
      </c>
      <c r="AE64" s="692" t="s">
        <v>765</v>
      </c>
      <c r="AF64" s="693">
        <f>ROUND(AG64*$B$89,2)</f>
        <v>4</v>
      </c>
      <c r="AG64" s="694">
        <f>ROUND(AH64*'BKFC Inputs'!$G$11,2)</f>
        <v>8.5</v>
      </c>
      <c r="AH64" s="694">
        <f>AG53</f>
        <v>16.989999999999998</v>
      </c>
      <c r="AJ64" s="692" t="s">
        <v>765</v>
      </c>
      <c r="AK64" s="693">
        <f>ROUND(AL64*$B$89,2)</f>
        <v>5.64</v>
      </c>
      <c r="AL64" s="694">
        <f>ROUND(AM64*'BKFC Inputs'!$G$11,2)</f>
        <v>12</v>
      </c>
      <c r="AM64" s="694">
        <f>AL53</f>
        <v>23.99</v>
      </c>
      <c r="AO64" s="692" t="s">
        <v>765</v>
      </c>
      <c r="AP64" s="693">
        <f>ROUND(AQ64*$B$89,2)</f>
        <v>0</v>
      </c>
      <c r="AQ64" s="694">
        <f>ROUND(AR64*'BKFC Inputs'!$G$11,2)</f>
        <v>0</v>
      </c>
      <c r="AR64" s="694">
        <f>AQ53</f>
        <v>0</v>
      </c>
      <c r="AT64" s="692" t="s">
        <v>765</v>
      </c>
      <c r="AU64" s="693">
        <f>ROUND(AV64*$B$89,2)</f>
        <v>4</v>
      </c>
      <c r="AV64" s="694">
        <f>ROUND(AW64*'BKFC Inputs'!$G$11,2)</f>
        <v>8.5</v>
      </c>
      <c r="AW64" s="694">
        <f>AV53</f>
        <v>16.989999999999998</v>
      </c>
      <c r="AY64" s="692" t="s">
        <v>765</v>
      </c>
      <c r="AZ64" s="693">
        <f>ROUND(BA64*$B$89,2)</f>
        <v>5.64</v>
      </c>
      <c r="BA64" s="694">
        <f>ROUND(BB64*'BKFC Inputs'!$G$11,2)</f>
        <v>12</v>
      </c>
      <c r="BB64" s="694">
        <f>BA53</f>
        <v>23.99</v>
      </c>
      <c r="BD64" s="692" t="s">
        <v>765</v>
      </c>
      <c r="BE64" s="693">
        <f>ROUND(BF64*$B$89,2)</f>
        <v>0</v>
      </c>
      <c r="BF64" s="694">
        <f>ROUND(BG64*'BKFC Inputs'!$G$11,2)</f>
        <v>0</v>
      </c>
      <c r="BG64" s="694">
        <f>BF53</f>
        <v>0</v>
      </c>
      <c r="BI64" s="692" t="s">
        <v>765</v>
      </c>
      <c r="BJ64" s="693">
        <f>ROUND(BK64*$B$89,2)</f>
        <v>4</v>
      </c>
      <c r="BK64" s="694">
        <f>ROUND(BL64*'BKFC Inputs'!$G$11,2)</f>
        <v>8.5</v>
      </c>
      <c r="BL64" s="694">
        <f>BK53</f>
        <v>16.989999999999998</v>
      </c>
      <c r="BN64" s="692" t="s">
        <v>765</v>
      </c>
      <c r="BO64" s="693">
        <f>ROUND(BP64*$B$89,2)</f>
        <v>5.64</v>
      </c>
      <c r="BP64" s="694">
        <f>ROUND(BQ64*'BKFC Inputs'!$G$11,2)</f>
        <v>12</v>
      </c>
      <c r="BQ64" s="694">
        <f>BP53</f>
        <v>23.99</v>
      </c>
      <c r="BS64" s="692" t="s">
        <v>765</v>
      </c>
      <c r="BT64" s="693">
        <f>ROUND(BU64*$B$89,2)</f>
        <v>0</v>
      </c>
      <c r="BU64" s="694">
        <f>ROUND(BV64*'BKFC Inputs'!$G$11,2)</f>
        <v>0</v>
      </c>
      <c r="BV64" s="694">
        <f>BU53</f>
        <v>0</v>
      </c>
    </row>
    <row r="65" spans="1:74" ht="16" thickBot="1">
      <c r="A65" s="692" t="s">
        <v>766</v>
      </c>
      <c r="B65" s="693">
        <f>ROUND(C65*$B$89,2)</f>
        <v>140.91</v>
      </c>
      <c r="C65" s="695">
        <f>ROUND(D65*'BKFC Inputs'!$G$11,2)</f>
        <v>299.8</v>
      </c>
      <c r="D65" s="695">
        <f>ROUND(D64*B56,2)</f>
        <v>599.6</v>
      </c>
      <c r="E65" s="668"/>
      <c r="F65" s="692" t="s">
        <v>766</v>
      </c>
      <c r="G65" s="693">
        <f>ROUND(H65*$B$89,2)</f>
        <v>187.91</v>
      </c>
      <c r="H65" s="695">
        <f>ROUND(I65*'BKFC Inputs'!$G$11,2)</f>
        <v>399.8</v>
      </c>
      <c r="I65" s="695">
        <f>ROUND(I64*G56,2)</f>
        <v>799.6</v>
      </c>
      <c r="J65" s="668"/>
      <c r="K65" s="692" t="s">
        <v>766</v>
      </c>
      <c r="L65" s="693">
        <f>ROUND(M65*$B$89,2)</f>
        <v>0</v>
      </c>
      <c r="M65" s="695">
        <f>ROUND(N65*'BKFC Inputs'!$G$11,2)</f>
        <v>0</v>
      </c>
      <c r="N65" s="695">
        <f>ROUND(N64*L56,2)</f>
        <v>0</v>
      </c>
      <c r="O65" s="668"/>
      <c r="P65" s="692" t="s">
        <v>766</v>
      </c>
      <c r="Q65" s="693">
        <f>ROUND(R65*$B$89,2)</f>
        <v>150.31</v>
      </c>
      <c r="R65" s="695">
        <f>ROUND(S65*'BKFC Inputs'!$G$11,2)</f>
        <v>319.8</v>
      </c>
      <c r="S65" s="695">
        <f>ROUND(S64*Q56,2)</f>
        <v>639.6</v>
      </c>
      <c r="U65" s="692" t="s">
        <v>766</v>
      </c>
      <c r="V65" s="693">
        <f>ROUND(W65*$B$89,2)</f>
        <v>206.71</v>
      </c>
      <c r="W65" s="695">
        <f>ROUND(X65*'BKFC Inputs'!$G$11,2)</f>
        <v>439.8</v>
      </c>
      <c r="X65" s="695">
        <f>ROUND(X64*V56,2)</f>
        <v>879.6</v>
      </c>
      <c r="Z65" s="692" t="s">
        <v>766</v>
      </c>
      <c r="AA65" s="693">
        <f>ROUND(AB65*$B$89,2)</f>
        <v>0</v>
      </c>
      <c r="AB65" s="695">
        <f>ROUND(AC65*'BKFC Inputs'!$G$11,2)</f>
        <v>0</v>
      </c>
      <c r="AC65" s="695">
        <f>ROUND(AC64*AA56,2)</f>
        <v>0</v>
      </c>
      <c r="AE65" s="692" t="s">
        <v>766</v>
      </c>
      <c r="AF65" s="693">
        <f>ROUND(AG65*$B$89,2)</f>
        <v>159.71</v>
      </c>
      <c r="AG65" s="695">
        <f>ROUND(AH65*'BKFC Inputs'!$G$11,2)</f>
        <v>339.8</v>
      </c>
      <c r="AH65" s="695">
        <f>ROUND(AH64*AF56,2)</f>
        <v>679.6</v>
      </c>
      <c r="AJ65" s="692" t="s">
        <v>766</v>
      </c>
      <c r="AK65" s="693">
        <f>ROUND(AL65*$B$89,2)</f>
        <v>225.51</v>
      </c>
      <c r="AL65" s="695">
        <f>ROUND(AM65*'BKFC Inputs'!$G$11,2)</f>
        <v>479.8</v>
      </c>
      <c r="AM65" s="695">
        <f>ROUND(AM64*AK56,2)</f>
        <v>959.6</v>
      </c>
      <c r="AO65" s="692" t="s">
        <v>766</v>
      </c>
      <c r="AP65" s="693">
        <f>ROUND(AQ65*$B$89,2)</f>
        <v>0</v>
      </c>
      <c r="AQ65" s="695">
        <f>ROUND(AR65*'BKFC Inputs'!$G$11,2)</f>
        <v>0</v>
      </c>
      <c r="AR65" s="695">
        <f>ROUND(AR64*AP56,2)</f>
        <v>0</v>
      </c>
      <c r="AT65" s="692" t="s">
        <v>766</v>
      </c>
      <c r="AU65" s="693">
        <f>ROUND(AV65*$B$89,2)</f>
        <v>159.71</v>
      </c>
      <c r="AV65" s="695">
        <f>ROUND(AW65*'BKFC Inputs'!$G$11,2)</f>
        <v>339.8</v>
      </c>
      <c r="AW65" s="695">
        <f>ROUND(AW64*AU56,2)</f>
        <v>679.6</v>
      </c>
      <c r="AY65" s="692" t="s">
        <v>766</v>
      </c>
      <c r="AZ65" s="693">
        <f>ROUND(BA65*$B$89,2)</f>
        <v>225.51</v>
      </c>
      <c r="BA65" s="695">
        <f>ROUND(BB65*'BKFC Inputs'!$G$11,2)</f>
        <v>479.8</v>
      </c>
      <c r="BB65" s="695">
        <f>ROUND(BB64*AZ56,2)</f>
        <v>959.6</v>
      </c>
      <c r="BD65" s="692" t="s">
        <v>766</v>
      </c>
      <c r="BE65" s="693">
        <f>ROUND(BF65*$B$89,2)</f>
        <v>0</v>
      </c>
      <c r="BF65" s="695">
        <f>ROUND(BG65*'BKFC Inputs'!$G$11,2)</f>
        <v>0</v>
      </c>
      <c r="BG65" s="695">
        <f>ROUND(BG64*BE56,2)</f>
        <v>0</v>
      </c>
      <c r="BI65" s="692" t="s">
        <v>766</v>
      </c>
      <c r="BJ65" s="693">
        <f>ROUND(BK65*$B$89,2)</f>
        <v>159.71</v>
      </c>
      <c r="BK65" s="695">
        <f>ROUND(BL65*'BKFC Inputs'!$G$11,2)</f>
        <v>339.8</v>
      </c>
      <c r="BL65" s="695">
        <f>ROUND(BL64*BJ56,2)</f>
        <v>679.6</v>
      </c>
      <c r="BN65" s="692" t="s">
        <v>766</v>
      </c>
      <c r="BO65" s="693">
        <f>ROUND(BP65*$B$89,2)</f>
        <v>225.51</v>
      </c>
      <c r="BP65" s="695">
        <f>ROUND(BQ65*'BKFC Inputs'!$G$11,2)</f>
        <v>479.8</v>
      </c>
      <c r="BQ65" s="695">
        <f>ROUND(BQ64*BO56,2)</f>
        <v>959.6</v>
      </c>
      <c r="BS65" s="692" t="s">
        <v>766</v>
      </c>
      <c r="BT65" s="693">
        <f>ROUND(BU65*$B$89,2)</f>
        <v>0</v>
      </c>
      <c r="BU65" s="695">
        <f>ROUND(BV65*'BKFC Inputs'!$G$11,2)</f>
        <v>0</v>
      </c>
      <c r="BV65" s="695">
        <f>ROUND(BV64*BT56,2)</f>
        <v>0</v>
      </c>
    </row>
    <row r="66" spans="1:74" ht="16" thickBot="1">
      <c r="A66" s="692" t="s">
        <v>767</v>
      </c>
      <c r="B66" s="693">
        <f>ROUND(B65*$B55,2)</f>
        <v>225456</v>
      </c>
      <c r="C66" s="695">
        <f>ROUND(C65*B55,2)</f>
        <v>479680</v>
      </c>
      <c r="D66" s="695">
        <f>ROUND(D65*B55,2)</f>
        <v>959360</v>
      </c>
      <c r="E66" s="668"/>
      <c r="F66" s="692" t="s">
        <v>767</v>
      </c>
      <c r="G66" s="693">
        <f>ROUND(G65*$B55,2)</f>
        <v>300656</v>
      </c>
      <c r="H66" s="695">
        <f>ROUND(H65*G55,2)</f>
        <v>799600</v>
      </c>
      <c r="I66" s="695">
        <f>ROUND(I65*G55,2)</f>
        <v>1599200</v>
      </c>
      <c r="J66" s="668"/>
      <c r="K66" s="692" t="s">
        <v>767</v>
      </c>
      <c r="L66" s="693">
        <f>ROUND(L65*$B55,2)</f>
        <v>0</v>
      </c>
      <c r="M66" s="695">
        <f>ROUND(M65*L55,2)</f>
        <v>0</v>
      </c>
      <c r="N66" s="695">
        <f>ROUND(N65*L55,2)</f>
        <v>0</v>
      </c>
      <c r="O66" s="668"/>
      <c r="P66" s="692" t="s">
        <v>767</v>
      </c>
      <c r="Q66" s="693">
        <f>ROUND(Q65*$B55,2)</f>
        <v>240496</v>
      </c>
      <c r="R66" s="695">
        <f>ROUND(R65*Q55,2)</f>
        <v>639600</v>
      </c>
      <c r="S66" s="695">
        <f>ROUND(S65*Q55,2)</f>
        <v>1279200</v>
      </c>
      <c r="U66" s="692" t="s">
        <v>767</v>
      </c>
      <c r="V66" s="693">
        <f>ROUND(V65*$B55,2)</f>
        <v>330736</v>
      </c>
      <c r="W66" s="695">
        <f>ROUND(W65*V55,2)</f>
        <v>1099500</v>
      </c>
      <c r="X66" s="695">
        <f>ROUND(X65*V55,2)</f>
        <v>2199000</v>
      </c>
      <c r="Z66" s="692" t="s">
        <v>767</v>
      </c>
      <c r="AA66" s="693">
        <f>ROUND(AA65*$B55,2)</f>
        <v>0</v>
      </c>
      <c r="AB66" s="695">
        <f>ROUND(AB65*AA55,2)</f>
        <v>0</v>
      </c>
      <c r="AC66" s="695">
        <f>ROUND(AC65*AA55,2)</f>
        <v>0</v>
      </c>
      <c r="AE66" s="692" t="s">
        <v>767</v>
      </c>
      <c r="AF66" s="693">
        <f>ROUND(AF65*$B55,2)</f>
        <v>255536</v>
      </c>
      <c r="AG66" s="695">
        <f>ROUND(AG65*AF55,2)</f>
        <v>1019400</v>
      </c>
      <c r="AH66" s="695">
        <f>ROUND(AH65*AF55,2)</f>
        <v>2038800</v>
      </c>
      <c r="AJ66" s="692" t="s">
        <v>767</v>
      </c>
      <c r="AK66" s="693">
        <f>ROUND(AK65*$B55,2)</f>
        <v>360816</v>
      </c>
      <c r="AL66" s="695">
        <f>ROUND(AL65*AK55,2)</f>
        <v>1919200</v>
      </c>
      <c r="AM66" s="695">
        <f>ROUND(AM65*AK55,2)</f>
        <v>3838400</v>
      </c>
      <c r="AO66" s="692" t="s">
        <v>767</v>
      </c>
      <c r="AP66" s="693">
        <f>ROUND(AP65*$B55,2)</f>
        <v>0</v>
      </c>
      <c r="AQ66" s="695">
        <f>ROUND(AQ65*AP55,2)</f>
        <v>0</v>
      </c>
      <c r="AR66" s="695">
        <f>ROUND(AR65*AP55,2)</f>
        <v>0</v>
      </c>
      <c r="AT66" s="692" t="s">
        <v>767</v>
      </c>
      <c r="AU66" s="693">
        <f>ROUND(AU65*$B55,2)</f>
        <v>255536</v>
      </c>
      <c r="AV66" s="695">
        <f>ROUND(AV65*AU55,2)</f>
        <v>1189300</v>
      </c>
      <c r="AW66" s="695">
        <f>ROUND(AW65*AU55,2)</f>
        <v>2378600</v>
      </c>
      <c r="AY66" s="692" t="s">
        <v>767</v>
      </c>
      <c r="AZ66" s="693">
        <f>ROUND(AZ65*$B55,2)</f>
        <v>360816</v>
      </c>
      <c r="BA66" s="695">
        <f>ROUND(BA65*AZ55,2)</f>
        <v>2399000</v>
      </c>
      <c r="BB66" s="695">
        <f>ROUND(BB65*AZ55,2)</f>
        <v>4798000</v>
      </c>
      <c r="BD66" s="692" t="s">
        <v>767</v>
      </c>
      <c r="BE66" s="693">
        <f>ROUND(BE65*$B55,2)</f>
        <v>0</v>
      </c>
      <c r="BF66" s="695">
        <f>ROUND(BF65*BE55,2)</f>
        <v>0</v>
      </c>
      <c r="BG66" s="695">
        <f>ROUND(BG65*BE55,2)</f>
        <v>0</v>
      </c>
      <c r="BI66" s="692" t="s">
        <v>767</v>
      </c>
      <c r="BJ66" s="693">
        <f>ROUND(BJ65*$B55,2)</f>
        <v>255536</v>
      </c>
      <c r="BK66" s="695">
        <f>ROUND(BK65*BJ55,2)</f>
        <v>1359200</v>
      </c>
      <c r="BL66" s="695">
        <f>ROUND(BL65*BJ55,2)</f>
        <v>2718400</v>
      </c>
      <c r="BN66" s="692" t="s">
        <v>767</v>
      </c>
      <c r="BO66" s="693">
        <f>ROUND(BO65*$B55,2)</f>
        <v>360816</v>
      </c>
      <c r="BP66" s="695">
        <f>ROUND(BP65*BO55,2)</f>
        <v>2878800</v>
      </c>
      <c r="BQ66" s="695">
        <f>ROUND(BQ65*BO55,2)</f>
        <v>5757600</v>
      </c>
      <c r="BS66" s="692" t="s">
        <v>767</v>
      </c>
      <c r="BT66" s="693">
        <f>ROUND(BT65*$B55,2)</f>
        <v>0</v>
      </c>
      <c r="BU66" s="695">
        <f>ROUND(BU65*BT55,2)</f>
        <v>0</v>
      </c>
      <c r="BV66" s="695">
        <f>ROUND(BV65*BT55,2)</f>
        <v>0</v>
      </c>
    </row>
    <row r="67" spans="1:74" ht="16" thickBot="1">
      <c r="A67" s="668"/>
      <c r="B67" s="668"/>
      <c r="C67" s="668"/>
      <c r="D67" s="668"/>
      <c r="E67" s="668"/>
      <c r="F67" s="668"/>
      <c r="G67" s="668"/>
      <c r="H67" s="668"/>
      <c r="I67" s="668"/>
      <c r="J67" s="668"/>
      <c r="K67" s="668"/>
      <c r="L67" s="668"/>
      <c r="M67" s="668"/>
      <c r="N67" s="668"/>
      <c r="O67" s="668"/>
      <c r="P67" s="668"/>
      <c r="Q67" s="668"/>
      <c r="R67" s="668"/>
      <c r="S67" s="668"/>
      <c r="U67" s="668"/>
      <c r="V67" s="668"/>
      <c r="W67" s="668"/>
      <c r="X67" s="668"/>
      <c r="Z67" s="668"/>
      <c r="AA67" s="668"/>
      <c r="AB67" s="668"/>
      <c r="AC67" s="668"/>
      <c r="AE67" s="668"/>
      <c r="AF67" s="668"/>
      <c r="AG67" s="668"/>
      <c r="AH67" s="668"/>
      <c r="AJ67" s="668"/>
      <c r="AK67" s="668"/>
      <c r="AL67" s="668"/>
      <c r="AM67" s="668"/>
      <c r="AO67" s="668"/>
      <c r="AP67" s="668"/>
      <c r="AQ67" s="668"/>
      <c r="AR67" s="668"/>
      <c r="AT67" s="668"/>
      <c r="AU67" s="668"/>
      <c r="AV67" s="668"/>
      <c r="AW67" s="668"/>
      <c r="AY67" s="668"/>
      <c r="AZ67" s="668"/>
      <c r="BA67" s="668"/>
      <c r="BB67" s="668"/>
      <c r="BD67" s="668"/>
      <c r="BE67" s="668"/>
      <c r="BF67" s="668"/>
      <c r="BG67" s="668"/>
      <c r="BI67" s="668"/>
      <c r="BJ67" s="668"/>
      <c r="BK67" s="668"/>
      <c r="BL67" s="668"/>
      <c r="BN67" s="668"/>
      <c r="BO67" s="668"/>
      <c r="BP67" s="668"/>
      <c r="BQ67" s="668"/>
      <c r="BS67" s="668"/>
      <c r="BT67" s="668"/>
      <c r="BU67" s="668"/>
      <c r="BV67" s="668"/>
    </row>
    <row r="68" spans="1:74" ht="16" thickBot="1">
      <c r="A68" s="668"/>
      <c r="B68" s="668"/>
      <c r="C68" s="674" t="s">
        <v>754</v>
      </c>
      <c r="D68" s="675"/>
      <c r="E68" s="668"/>
      <c r="F68" s="668"/>
      <c r="G68" s="668"/>
      <c r="H68" s="674" t="s">
        <v>754</v>
      </c>
      <c r="I68" s="675"/>
      <c r="J68" s="668"/>
      <c r="K68" s="668"/>
      <c r="L68" s="668"/>
      <c r="M68" s="674" t="s">
        <v>754</v>
      </c>
      <c r="N68" s="675"/>
      <c r="O68" s="668"/>
      <c r="P68" s="668"/>
      <c r="Q68" s="668"/>
      <c r="R68" s="674" t="s">
        <v>754</v>
      </c>
      <c r="S68" s="675"/>
      <c r="U68" s="668"/>
      <c r="V68" s="668"/>
      <c r="W68" s="674" t="s">
        <v>754</v>
      </c>
      <c r="X68" s="675"/>
      <c r="Z68" s="668"/>
      <c r="AA68" s="668"/>
      <c r="AB68" s="674" t="s">
        <v>754</v>
      </c>
      <c r="AC68" s="675"/>
      <c r="AE68" s="668"/>
      <c r="AF68" s="668"/>
      <c r="AG68" s="674" t="s">
        <v>754</v>
      </c>
      <c r="AH68" s="675"/>
      <c r="AJ68" s="668"/>
      <c r="AK68" s="668"/>
      <c r="AL68" s="674" t="s">
        <v>754</v>
      </c>
      <c r="AM68" s="675"/>
      <c r="AO68" s="668"/>
      <c r="AP68" s="668"/>
      <c r="AQ68" s="674" t="s">
        <v>754</v>
      </c>
      <c r="AR68" s="675"/>
      <c r="AT68" s="668"/>
      <c r="AU68" s="668"/>
      <c r="AV68" s="674" t="s">
        <v>754</v>
      </c>
      <c r="AW68" s="675"/>
      <c r="AY68" s="668"/>
      <c r="AZ68" s="668"/>
      <c r="BA68" s="674" t="s">
        <v>754</v>
      </c>
      <c r="BB68" s="675"/>
      <c r="BD68" s="668"/>
      <c r="BE68" s="668"/>
      <c r="BF68" s="674" t="s">
        <v>754</v>
      </c>
      <c r="BG68" s="675"/>
      <c r="BI68" s="668"/>
      <c r="BJ68" s="668"/>
      <c r="BK68" s="674" t="s">
        <v>754</v>
      </c>
      <c r="BL68" s="675"/>
      <c r="BN68" s="668"/>
      <c r="BO68" s="668"/>
      <c r="BP68" s="674" t="s">
        <v>754</v>
      </c>
      <c r="BQ68" s="675"/>
      <c r="BS68" s="668"/>
      <c r="BT68" s="668"/>
      <c r="BU68" s="674" t="s">
        <v>754</v>
      </c>
      <c r="BV68" s="675"/>
    </row>
    <row r="69" spans="1:74" s="677" customFormat="1" ht="32">
      <c r="A69" s="676" t="s">
        <v>772</v>
      </c>
      <c r="B69" s="1172" t="s">
        <v>18</v>
      </c>
      <c r="C69" s="1174">
        <f>'BKFC Inputs'!E27</f>
        <v>149.99</v>
      </c>
      <c r="D69" s="1172"/>
      <c r="E69" s="1179"/>
      <c r="F69" s="676" t="s">
        <v>772</v>
      </c>
      <c r="G69" s="1172" t="s">
        <v>18</v>
      </c>
      <c r="H69" s="1176">
        <f>'BKFC Inputs'!E40</f>
        <v>499.99</v>
      </c>
      <c r="I69" s="1172"/>
      <c r="J69" s="1179"/>
      <c r="K69" s="676" t="s">
        <v>772</v>
      </c>
      <c r="L69" s="1172" t="s">
        <v>18</v>
      </c>
      <c r="M69" s="1174">
        <f>'BKFC Inputs'!E53</f>
        <v>0</v>
      </c>
      <c r="N69" s="1172"/>
      <c r="O69" s="1180"/>
      <c r="P69" s="676" t="s">
        <v>772</v>
      </c>
      <c r="Q69" s="1172" t="s">
        <v>18</v>
      </c>
      <c r="R69" s="1174">
        <f>'BKFC Inputs'!E66</f>
        <v>159.99</v>
      </c>
      <c r="S69" s="1172"/>
      <c r="U69" s="676" t="s">
        <v>772</v>
      </c>
      <c r="V69" s="1172" t="s">
        <v>18</v>
      </c>
      <c r="W69" s="1174">
        <f>'BKFC Inputs'!E79</f>
        <v>499.99</v>
      </c>
      <c r="X69" s="1172"/>
      <c r="Z69" s="676" t="s">
        <v>772</v>
      </c>
      <c r="AA69" s="1172" t="s">
        <v>18</v>
      </c>
      <c r="AB69" s="1174">
        <f>'BKFC Inputs'!E92</f>
        <v>0</v>
      </c>
      <c r="AC69" s="1172"/>
      <c r="AE69" s="676" t="s">
        <v>772</v>
      </c>
      <c r="AF69" s="1172" t="s">
        <v>18</v>
      </c>
      <c r="AG69" s="1174">
        <f>'BKFC Inputs'!E105</f>
        <v>164.99</v>
      </c>
      <c r="AH69" s="1172"/>
      <c r="AJ69" s="676" t="s">
        <v>772</v>
      </c>
      <c r="AK69" s="1172" t="s">
        <v>18</v>
      </c>
      <c r="AL69" s="1174">
        <f>'BKFC Inputs'!E118</f>
        <v>499.99</v>
      </c>
      <c r="AM69" s="1172"/>
      <c r="AO69" s="676" t="s">
        <v>772</v>
      </c>
      <c r="AP69" s="1172" t="s">
        <v>18</v>
      </c>
      <c r="AQ69" s="1174">
        <f>'BKFC Inputs'!E131</f>
        <v>0</v>
      </c>
      <c r="AR69" s="1172"/>
      <c r="AT69" s="676" t="s">
        <v>772</v>
      </c>
      <c r="AU69" s="1172" t="s">
        <v>18</v>
      </c>
      <c r="AV69" s="1174">
        <f>'BKFC Inputs'!E144</f>
        <v>164.99</v>
      </c>
      <c r="AW69" s="1172"/>
      <c r="AY69" s="676" t="s">
        <v>772</v>
      </c>
      <c r="AZ69" s="1172" t="s">
        <v>18</v>
      </c>
      <c r="BA69" s="1174">
        <f>'BKFC Inputs'!E157</f>
        <v>499.99</v>
      </c>
      <c r="BB69" s="1172"/>
      <c r="BD69" s="676" t="s">
        <v>772</v>
      </c>
      <c r="BE69" s="1172" t="s">
        <v>18</v>
      </c>
      <c r="BF69" s="1174">
        <f>'BKFC Inputs'!E170</f>
        <v>0</v>
      </c>
      <c r="BG69" s="1172"/>
      <c r="BI69" s="676" t="s">
        <v>772</v>
      </c>
      <c r="BJ69" s="1172" t="s">
        <v>18</v>
      </c>
      <c r="BK69" s="1174">
        <f>'BKFC Inputs'!E183</f>
        <v>164.99</v>
      </c>
      <c r="BL69" s="1172"/>
      <c r="BN69" s="676" t="s">
        <v>772</v>
      </c>
      <c r="BO69" s="1172" t="s">
        <v>18</v>
      </c>
      <c r="BP69" s="1174">
        <f>'BKFC Inputs'!E196</f>
        <v>499.99</v>
      </c>
      <c r="BQ69" s="1172"/>
      <c r="BS69" s="676" t="s">
        <v>772</v>
      </c>
      <c r="BT69" s="1172" t="s">
        <v>18</v>
      </c>
      <c r="BU69" s="1174">
        <f>'BKFC Inputs'!E209</f>
        <v>0</v>
      </c>
      <c r="BV69" s="1172"/>
    </row>
    <row r="70" spans="1:74" s="677" customFormat="1" ht="16" thickBot="1">
      <c r="A70" s="678" t="s">
        <v>773</v>
      </c>
      <c r="B70" s="1173"/>
      <c r="C70" s="1175"/>
      <c r="D70" s="1173"/>
      <c r="E70" s="1179"/>
      <c r="F70" s="678" t="s">
        <v>773</v>
      </c>
      <c r="G70" s="1173"/>
      <c r="H70" s="1177"/>
      <c r="I70" s="1173"/>
      <c r="J70" s="1179"/>
      <c r="K70" s="678" t="s">
        <v>773</v>
      </c>
      <c r="L70" s="1173"/>
      <c r="M70" s="1175"/>
      <c r="N70" s="1173"/>
      <c r="O70" s="1180"/>
      <c r="P70" s="678" t="s">
        <v>773</v>
      </c>
      <c r="Q70" s="1173"/>
      <c r="R70" s="1175"/>
      <c r="S70" s="1173"/>
      <c r="U70" s="678" t="s">
        <v>773</v>
      </c>
      <c r="V70" s="1173"/>
      <c r="W70" s="1175"/>
      <c r="X70" s="1173"/>
      <c r="Z70" s="678" t="s">
        <v>773</v>
      </c>
      <c r="AA70" s="1173"/>
      <c r="AB70" s="1175"/>
      <c r="AC70" s="1173"/>
      <c r="AE70" s="678" t="s">
        <v>773</v>
      </c>
      <c r="AF70" s="1173"/>
      <c r="AG70" s="1175"/>
      <c r="AH70" s="1173"/>
      <c r="AJ70" s="678" t="s">
        <v>773</v>
      </c>
      <c r="AK70" s="1173"/>
      <c r="AL70" s="1175"/>
      <c r="AM70" s="1173"/>
      <c r="AO70" s="678" t="s">
        <v>773</v>
      </c>
      <c r="AP70" s="1173"/>
      <c r="AQ70" s="1175"/>
      <c r="AR70" s="1173"/>
      <c r="AT70" s="678" t="s">
        <v>773</v>
      </c>
      <c r="AU70" s="1173"/>
      <c r="AV70" s="1175"/>
      <c r="AW70" s="1173"/>
      <c r="AY70" s="678" t="s">
        <v>773</v>
      </c>
      <c r="AZ70" s="1173"/>
      <c r="BA70" s="1175"/>
      <c r="BB70" s="1173"/>
      <c r="BD70" s="678" t="s">
        <v>773</v>
      </c>
      <c r="BE70" s="1173"/>
      <c r="BF70" s="1175"/>
      <c r="BG70" s="1173"/>
      <c r="BI70" s="678" t="s">
        <v>773</v>
      </c>
      <c r="BJ70" s="1173"/>
      <c r="BK70" s="1175"/>
      <c r="BL70" s="1173"/>
      <c r="BN70" s="678" t="s">
        <v>773</v>
      </c>
      <c r="BO70" s="1173"/>
      <c r="BP70" s="1175"/>
      <c r="BQ70" s="1173"/>
      <c r="BS70" s="678" t="s">
        <v>773</v>
      </c>
      <c r="BT70" s="1173"/>
      <c r="BU70" s="1175"/>
      <c r="BV70" s="1173"/>
    </row>
    <row r="71" spans="1:74" ht="16" thickBot="1">
      <c r="A71" s="679" t="s">
        <v>759</v>
      </c>
      <c r="B71" s="681">
        <f>'BKFC Inputs'!I27</f>
        <v>500</v>
      </c>
      <c r="C71" s="681"/>
      <c r="D71" s="689"/>
      <c r="E71" s="668"/>
      <c r="F71" s="679" t="s">
        <v>759</v>
      </c>
      <c r="G71" s="681">
        <f>'BKFC Inputs'!I40</f>
        <v>100</v>
      </c>
      <c r="H71" s="681"/>
      <c r="I71" s="689"/>
      <c r="J71" s="668"/>
      <c r="K71" s="679" t="s">
        <v>759</v>
      </c>
      <c r="L71" s="681">
        <f>'BKFC Inputs'!I53</f>
        <v>0</v>
      </c>
      <c r="M71" s="681"/>
      <c r="N71" s="689"/>
      <c r="O71" s="668"/>
      <c r="P71" s="679" t="s">
        <v>759</v>
      </c>
      <c r="Q71" s="681">
        <f>'BKFC Inputs'!I66</f>
        <v>500</v>
      </c>
      <c r="R71" s="681"/>
      <c r="S71" s="689"/>
      <c r="U71" s="679" t="s">
        <v>759</v>
      </c>
      <c r="V71" s="681">
        <f>'BKFC Inputs'!I79</f>
        <v>100</v>
      </c>
      <c r="W71" s="681"/>
      <c r="X71" s="689"/>
      <c r="Z71" s="679" t="s">
        <v>759</v>
      </c>
      <c r="AA71" s="681">
        <f>'BKFC Inputs'!I92</f>
        <v>0</v>
      </c>
      <c r="AB71" s="681"/>
      <c r="AC71" s="689"/>
      <c r="AE71" s="679" t="s">
        <v>759</v>
      </c>
      <c r="AF71" s="681">
        <f>'BKFC Inputs'!I105</f>
        <v>500</v>
      </c>
      <c r="AG71" s="681"/>
      <c r="AH71" s="689"/>
      <c r="AJ71" s="679" t="s">
        <v>759</v>
      </c>
      <c r="AK71" s="681">
        <f>'BKFC Inputs'!I118</f>
        <v>100</v>
      </c>
      <c r="AL71" s="681"/>
      <c r="AM71" s="689"/>
      <c r="AO71" s="679" t="s">
        <v>759</v>
      </c>
      <c r="AP71" s="681">
        <f>'BKFC Inputs'!I131</f>
        <v>0</v>
      </c>
      <c r="AQ71" s="681"/>
      <c r="AR71" s="689"/>
      <c r="AT71" s="679" t="s">
        <v>759</v>
      </c>
      <c r="AU71" s="681">
        <f>'BKFC Inputs'!I144</f>
        <v>500</v>
      </c>
      <c r="AV71" s="681"/>
      <c r="AW71" s="689"/>
      <c r="AY71" s="679" t="s">
        <v>759</v>
      </c>
      <c r="AZ71" s="681">
        <f>'BKFC Inputs'!I157</f>
        <v>100</v>
      </c>
      <c r="BA71" s="681"/>
      <c r="BB71" s="689"/>
      <c r="BD71" s="679" t="s">
        <v>759</v>
      </c>
      <c r="BE71" s="681">
        <f>'BKFC Inputs'!I170</f>
        <v>0</v>
      </c>
      <c r="BF71" s="681"/>
      <c r="BG71" s="689"/>
      <c r="BI71" s="679" t="s">
        <v>759</v>
      </c>
      <c r="BJ71" s="681">
        <f>'BKFC Inputs'!I183</f>
        <v>500</v>
      </c>
      <c r="BK71" s="681"/>
      <c r="BL71" s="689"/>
      <c r="BN71" s="679" t="s">
        <v>759</v>
      </c>
      <c r="BO71" s="681">
        <f>'BKFC Inputs'!I196</f>
        <v>100</v>
      </c>
      <c r="BP71" s="681"/>
      <c r="BQ71" s="689"/>
      <c r="BS71" s="679" t="s">
        <v>759</v>
      </c>
      <c r="BT71" s="681">
        <f>'BKFC Inputs'!I209</f>
        <v>0</v>
      </c>
      <c r="BU71" s="681"/>
      <c r="BV71" s="689"/>
    </row>
    <row r="72" spans="1:74" ht="16" thickBot="1">
      <c r="A72" s="679" t="s">
        <v>774</v>
      </c>
      <c r="B72" s="681">
        <f>'BKFC Inputs'!M27</f>
        <v>270</v>
      </c>
      <c r="C72" s="681"/>
      <c r="D72" s="681"/>
      <c r="E72" s="668"/>
      <c r="F72" s="679" t="s">
        <v>774</v>
      </c>
      <c r="G72" s="681">
        <f>'BKFC Inputs'!M40</f>
        <v>200</v>
      </c>
      <c r="H72" s="681"/>
      <c r="I72" s="681"/>
      <c r="J72" s="668"/>
      <c r="K72" s="679" t="s">
        <v>774</v>
      </c>
      <c r="L72" s="681">
        <f>'BKFC Inputs'!M53</f>
        <v>0</v>
      </c>
      <c r="M72" s="681"/>
      <c r="N72" s="681"/>
      <c r="O72" s="668"/>
      <c r="P72" s="679" t="s">
        <v>774</v>
      </c>
      <c r="Q72" s="681">
        <f>'BKFC Inputs'!M66</f>
        <v>300</v>
      </c>
      <c r="R72" s="681"/>
      <c r="S72" s="681"/>
      <c r="U72" s="679" t="s">
        <v>774</v>
      </c>
      <c r="V72" s="681">
        <f>'BKFC Inputs'!M79</f>
        <v>200</v>
      </c>
      <c r="W72" s="681"/>
      <c r="X72" s="681"/>
      <c r="Z72" s="679" t="s">
        <v>774</v>
      </c>
      <c r="AA72" s="681">
        <f>'BKFC Inputs'!M92</f>
        <v>0</v>
      </c>
      <c r="AB72" s="681"/>
      <c r="AC72" s="681"/>
      <c r="AE72" s="679" t="s">
        <v>774</v>
      </c>
      <c r="AF72" s="681">
        <f>'BKFC Inputs'!M105</f>
        <v>300</v>
      </c>
      <c r="AG72" s="681"/>
      <c r="AH72" s="681"/>
      <c r="AJ72" s="679" t="s">
        <v>774</v>
      </c>
      <c r="AK72" s="681">
        <f>'BKFC Inputs'!M118</f>
        <v>200</v>
      </c>
      <c r="AL72" s="681"/>
      <c r="AM72" s="681"/>
      <c r="AO72" s="679" t="s">
        <v>774</v>
      </c>
      <c r="AP72" s="681">
        <f>'BKFC Inputs'!M131</f>
        <v>0</v>
      </c>
      <c r="AQ72" s="681"/>
      <c r="AR72" s="681"/>
      <c r="AT72" s="679" t="s">
        <v>774</v>
      </c>
      <c r="AU72" s="681">
        <f>'BKFC Inputs'!M144</f>
        <v>300</v>
      </c>
      <c r="AV72" s="681"/>
      <c r="AW72" s="681"/>
      <c r="AY72" s="679" t="s">
        <v>774</v>
      </c>
      <c r="AZ72" s="681">
        <f>'BKFC Inputs'!M157</f>
        <v>200</v>
      </c>
      <c r="BA72" s="681"/>
      <c r="BB72" s="681"/>
      <c r="BD72" s="679" t="s">
        <v>774</v>
      </c>
      <c r="BE72" s="681">
        <f>'BKFC Inputs'!M170</f>
        <v>0</v>
      </c>
      <c r="BF72" s="681"/>
      <c r="BG72" s="681"/>
      <c r="BI72" s="679" t="s">
        <v>774</v>
      </c>
      <c r="BJ72" s="681">
        <f>'BKFC Inputs'!M183</f>
        <v>300</v>
      </c>
      <c r="BK72" s="681"/>
      <c r="BL72" s="681"/>
      <c r="BN72" s="679" t="s">
        <v>774</v>
      </c>
      <c r="BO72" s="681">
        <f>'BKFC Inputs'!M196</f>
        <v>200</v>
      </c>
      <c r="BP72" s="681"/>
      <c r="BQ72" s="681"/>
      <c r="BS72" s="679" t="s">
        <v>774</v>
      </c>
      <c r="BT72" s="681">
        <f>'BKFC Inputs'!M209</f>
        <v>0</v>
      </c>
      <c r="BU72" s="681"/>
      <c r="BV72" s="681"/>
    </row>
    <row r="73" spans="1:74" ht="16" thickBot="1">
      <c r="A73" s="679" t="s">
        <v>762</v>
      </c>
      <c r="B73" s="680">
        <f>B71*B72</f>
        <v>135000</v>
      </c>
      <c r="C73" s="681"/>
      <c r="D73" s="681"/>
      <c r="E73" s="668"/>
      <c r="F73" s="679" t="s">
        <v>762</v>
      </c>
      <c r="G73" s="680">
        <f>G71*G72</f>
        <v>20000</v>
      </c>
      <c r="H73" s="681"/>
      <c r="I73" s="681"/>
      <c r="J73" s="668"/>
      <c r="K73" s="679" t="s">
        <v>762</v>
      </c>
      <c r="L73" s="680">
        <f>L71*L72</f>
        <v>0</v>
      </c>
      <c r="M73" s="681"/>
      <c r="N73" s="681"/>
      <c r="O73" s="668"/>
      <c r="P73" s="679" t="s">
        <v>762</v>
      </c>
      <c r="Q73" s="680">
        <f>Q71*Q72</f>
        <v>150000</v>
      </c>
      <c r="R73" s="681"/>
      <c r="S73" s="681"/>
      <c r="U73" s="679" t="s">
        <v>762</v>
      </c>
      <c r="V73" s="680">
        <f>V71*V72</f>
        <v>20000</v>
      </c>
      <c r="W73" s="681"/>
      <c r="X73" s="681"/>
      <c r="Z73" s="679" t="s">
        <v>762</v>
      </c>
      <c r="AA73" s="680">
        <f>AA71*AA72</f>
        <v>0</v>
      </c>
      <c r="AB73" s="681"/>
      <c r="AC73" s="681"/>
      <c r="AE73" s="679" t="s">
        <v>762</v>
      </c>
      <c r="AF73" s="680">
        <f>AF71*AF72</f>
        <v>150000</v>
      </c>
      <c r="AG73" s="681"/>
      <c r="AH73" s="681"/>
      <c r="AJ73" s="679" t="s">
        <v>762</v>
      </c>
      <c r="AK73" s="680">
        <f>AK71*AK72</f>
        <v>20000</v>
      </c>
      <c r="AL73" s="681"/>
      <c r="AM73" s="681"/>
      <c r="AO73" s="679" t="s">
        <v>762</v>
      </c>
      <c r="AP73" s="680">
        <f>AP71*AP72</f>
        <v>0</v>
      </c>
      <c r="AQ73" s="681"/>
      <c r="AR73" s="681"/>
      <c r="AT73" s="679" t="s">
        <v>762</v>
      </c>
      <c r="AU73" s="680">
        <f>AU71*AU72</f>
        <v>150000</v>
      </c>
      <c r="AV73" s="681"/>
      <c r="AW73" s="681"/>
      <c r="AY73" s="679" t="s">
        <v>762</v>
      </c>
      <c r="AZ73" s="680">
        <f>AZ71*AZ72</f>
        <v>20000</v>
      </c>
      <c r="BA73" s="681"/>
      <c r="BB73" s="681"/>
      <c r="BD73" s="679" t="s">
        <v>762</v>
      </c>
      <c r="BE73" s="680">
        <f>BE71*BE72</f>
        <v>0</v>
      </c>
      <c r="BF73" s="681"/>
      <c r="BG73" s="681"/>
      <c r="BI73" s="679" t="s">
        <v>762</v>
      </c>
      <c r="BJ73" s="680">
        <f>BJ71*BJ72</f>
        <v>150000</v>
      </c>
      <c r="BK73" s="681"/>
      <c r="BL73" s="681"/>
      <c r="BN73" s="679" t="s">
        <v>762</v>
      </c>
      <c r="BO73" s="680">
        <f>BO71*BO72</f>
        <v>20000</v>
      </c>
      <c r="BP73" s="681"/>
      <c r="BQ73" s="681"/>
      <c r="BS73" s="679" t="s">
        <v>762</v>
      </c>
      <c r="BT73" s="680">
        <f>BT71*BT72</f>
        <v>0</v>
      </c>
      <c r="BU73" s="681"/>
      <c r="BV73" s="681"/>
    </row>
    <row r="74" spans="1:74" ht="16" thickBot="1">
      <c r="A74" s="679" t="s">
        <v>763</v>
      </c>
      <c r="B74" s="689">
        <f>D77/B73</f>
        <v>0.55551851851851852</v>
      </c>
      <c r="C74" s="681"/>
      <c r="D74" s="689"/>
      <c r="E74" s="668"/>
      <c r="F74" s="679" t="s">
        <v>763</v>
      </c>
      <c r="G74" s="689">
        <f>I77/G73</f>
        <v>2.4999500000000001</v>
      </c>
      <c r="H74" s="681"/>
      <c r="I74" s="689"/>
      <c r="J74" s="668"/>
      <c r="K74" s="679" t="s">
        <v>763</v>
      </c>
      <c r="L74" s="689" t="e">
        <f>N77/L73</f>
        <v>#DIV/0!</v>
      </c>
      <c r="M74" s="681"/>
      <c r="N74" s="689"/>
      <c r="O74" s="668"/>
      <c r="P74" s="679" t="s">
        <v>763</v>
      </c>
      <c r="Q74" s="689">
        <f>S77/Q73</f>
        <v>0.5333</v>
      </c>
      <c r="R74" s="681"/>
      <c r="S74" s="689"/>
      <c r="U74" s="679" t="s">
        <v>763</v>
      </c>
      <c r="V74" s="689">
        <f>X77/V73</f>
        <v>2.4999500000000001</v>
      </c>
      <c r="W74" s="681"/>
      <c r="X74" s="689"/>
      <c r="Z74" s="679" t="s">
        <v>763</v>
      </c>
      <c r="AA74" s="689" t="e">
        <f>AC77/AA73</f>
        <v>#DIV/0!</v>
      </c>
      <c r="AB74" s="681"/>
      <c r="AC74" s="689"/>
      <c r="AE74" s="679" t="s">
        <v>763</v>
      </c>
      <c r="AF74" s="689">
        <f>AH77/AF73</f>
        <v>0.54996666666666671</v>
      </c>
      <c r="AG74" s="681"/>
      <c r="AH74" s="689"/>
      <c r="AJ74" s="679" t="s">
        <v>763</v>
      </c>
      <c r="AK74" s="689">
        <f>AM77/AK73</f>
        <v>2.4999500000000001</v>
      </c>
      <c r="AL74" s="681"/>
      <c r="AM74" s="689"/>
      <c r="AO74" s="679" t="s">
        <v>763</v>
      </c>
      <c r="AP74" s="689" t="e">
        <f>AR77/AP73</f>
        <v>#DIV/0!</v>
      </c>
      <c r="AQ74" s="681"/>
      <c r="AR74" s="689"/>
      <c r="AT74" s="679" t="s">
        <v>763</v>
      </c>
      <c r="AU74" s="689">
        <f>AW77/AU73</f>
        <v>0.54996666666666671</v>
      </c>
      <c r="AV74" s="681"/>
      <c r="AW74" s="689"/>
      <c r="AY74" s="679" t="s">
        <v>763</v>
      </c>
      <c r="AZ74" s="689">
        <f>BB77/AZ73</f>
        <v>2.4999500000000001</v>
      </c>
      <c r="BA74" s="681"/>
      <c r="BB74" s="689"/>
      <c r="BD74" s="679" t="s">
        <v>763</v>
      </c>
      <c r="BE74" s="689" t="e">
        <f>BG77/BE73</f>
        <v>#DIV/0!</v>
      </c>
      <c r="BF74" s="681"/>
      <c r="BG74" s="689"/>
      <c r="BI74" s="679" t="s">
        <v>763</v>
      </c>
      <c r="BJ74" s="689">
        <f>BL77/BJ73</f>
        <v>0.54996666666666671</v>
      </c>
      <c r="BK74" s="681"/>
      <c r="BL74" s="689"/>
      <c r="BN74" s="679" t="s">
        <v>763</v>
      </c>
      <c r="BO74" s="689">
        <f>BQ77/BO73</f>
        <v>2.4999500000000001</v>
      </c>
      <c r="BP74" s="681"/>
      <c r="BQ74" s="689"/>
      <c r="BS74" s="679" t="s">
        <v>763</v>
      </c>
      <c r="BT74" s="689" t="e">
        <f>BV77/BT73</f>
        <v>#DIV/0!</v>
      </c>
      <c r="BU74" s="681"/>
      <c r="BV74" s="689"/>
    </row>
    <row r="75" spans="1:74" ht="16" thickBot="1">
      <c r="A75" s="690"/>
      <c r="B75" s="691" t="s">
        <v>250</v>
      </c>
      <c r="C75" s="691" t="s">
        <v>764</v>
      </c>
      <c r="D75" s="691" t="s">
        <v>18</v>
      </c>
      <c r="E75" s="668"/>
      <c r="F75" s="690"/>
      <c r="G75" s="691" t="s">
        <v>250</v>
      </c>
      <c r="H75" s="691" t="s">
        <v>764</v>
      </c>
      <c r="I75" s="691" t="s">
        <v>18</v>
      </c>
      <c r="J75" s="668"/>
      <c r="K75" s="690"/>
      <c r="L75" s="691" t="s">
        <v>250</v>
      </c>
      <c r="M75" s="691" t="s">
        <v>764</v>
      </c>
      <c r="N75" s="691" t="s">
        <v>18</v>
      </c>
      <c r="O75" s="668"/>
      <c r="P75" s="690"/>
      <c r="Q75" s="691" t="s">
        <v>250</v>
      </c>
      <c r="R75" s="691" t="s">
        <v>764</v>
      </c>
      <c r="S75" s="691" t="s">
        <v>18</v>
      </c>
      <c r="U75" s="690"/>
      <c r="V75" s="691" t="s">
        <v>250</v>
      </c>
      <c r="W75" s="691" t="s">
        <v>764</v>
      </c>
      <c r="X75" s="691" t="s">
        <v>18</v>
      </c>
      <c r="Z75" s="690"/>
      <c r="AA75" s="691" t="s">
        <v>250</v>
      </c>
      <c r="AB75" s="691" t="s">
        <v>764</v>
      </c>
      <c r="AC75" s="691" t="s">
        <v>18</v>
      </c>
      <c r="AE75" s="690"/>
      <c r="AF75" s="691" t="s">
        <v>250</v>
      </c>
      <c r="AG75" s="691" t="s">
        <v>764</v>
      </c>
      <c r="AH75" s="691" t="s">
        <v>18</v>
      </c>
      <c r="AJ75" s="690"/>
      <c r="AK75" s="691" t="s">
        <v>250</v>
      </c>
      <c r="AL75" s="691" t="s">
        <v>764</v>
      </c>
      <c r="AM75" s="691" t="s">
        <v>18</v>
      </c>
      <c r="AO75" s="690"/>
      <c r="AP75" s="691" t="s">
        <v>250</v>
      </c>
      <c r="AQ75" s="691" t="s">
        <v>764</v>
      </c>
      <c r="AR75" s="691" t="s">
        <v>18</v>
      </c>
      <c r="AT75" s="690"/>
      <c r="AU75" s="691" t="s">
        <v>250</v>
      </c>
      <c r="AV75" s="691" t="s">
        <v>764</v>
      </c>
      <c r="AW75" s="691" t="s">
        <v>18</v>
      </c>
      <c r="AY75" s="690"/>
      <c r="AZ75" s="691" t="s">
        <v>250</v>
      </c>
      <c r="BA75" s="691" t="s">
        <v>764</v>
      </c>
      <c r="BB75" s="691" t="s">
        <v>18</v>
      </c>
      <c r="BD75" s="690"/>
      <c r="BE75" s="691" t="s">
        <v>250</v>
      </c>
      <c r="BF75" s="691" t="s">
        <v>764</v>
      </c>
      <c r="BG75" s="691" t="s">
        <v>18</v>
      </c>
      <c r="BI75" s="690"/>
      <c r="BJ75" s="691" t="s">
        <v>250</v>
      </c>
      <c r="BK75" s="691" t="s">
        <v>764</v>
      </c>
      <c r="BL75" s="691" t="s">
        <v>18</v>
      </c>
      <c r="BN75" s="690"/>
      <c r="BO75" s="691" t="s">
        <v>250</v>
      </c>
      <c r="BP75" s="691" t="s">
        <v>764</v>
      </c>
      <c r="BQ75" s="691" t="s">
        <v>18</v>
      </c>
      <c r="BS75" s="690"/>
      <c r="BT75" s="691" t="s">
        <v>250</v>
      </c>
      <c r="BU75" s="691" t="s">
        <v>764</v>
      </c>
      <c r="BV75" s="691" t="s">
        <v>18</v>
      </c>
    </row>
    <row r="76" spans="1:74" ht="16" thickBot="1">
      <c r="A76" s="692" t="s">
        <v>765</v>
      </c>
      <c r="B76" s="693">
        <f>ROUND(C76*$B$89,2)</f>
        <v>70.5</v>
      </c>
      <c r="C76" s="694">
        <f>C69</f>
        <v>149.99</v>
      </c>
      <c r="D76" s="694">
        <f>C69</f>
        <v>149.99</v>
      </c>
      <c r="E76" s="668"/>
      <c r="F76" s="692" t="s">
        <v>765</v>
      </c>
      <c r="G76" s="693">
        <f>ROUND(H76*$B$89,2)</f>
        <v>235</v>
      </c>
      <c r="H76" s="694">
        <f>H69</f>
        <v>499.99</v>
      </c>
      <c r="I76" s="694">
        <f>H69</f>
        <v>499.99</v>
      </c>
      <c r="J76" s="668"/>
      <c r="K76" s="692" t="s">
        <v>765</v>
      </c>
      <c r="L76" s="693">
        <f>ROUND(M76*$B$89,2)</f>
        <v>0</v>
      </c>
      <c r="M76" s="694">
        <f>M69</f>
        <v>0</v>
      </c>
      <c r="N76" s="694">
        <f>M69</f>
        <v>0</v>
      </c>
      <c r="O76" s="668"/>
      <c r="P76" s="692" t="s">
        <v>765</v>
      </c>
      <c r="Q76" s="693">
        <f>ROUND(R76*$B$89,2)</f>
        <v>75.2</v>
      </c>
      <c r="R76" s="694">
        <f>R69</f>
        <v>159.99</v>
      </c>
      <c r="S76" s="694">
        <f>R69</f>
        <v>159.99</v>
      </c>
      <c r="U76" s="692" t="s">
        <v>765</v>
      </c>
      <c r="V76" s="693">
        <f>ROUND(W76*$B$89,2)</f>
        <v>235</v>
      </c>
      <c r="W76" s="694">
        <f>W69</f>
        <v>499.99</v>
      </c>
      <c r="X76" s="694">
        <f>W69</f>
        <v>499.99</v>
      </c>
      <c r="Z76" s="692" t="s">
        <v>765</v>
      </c>
      <c r="AA76" s="693">
        <f>ROUND(AB76*$B$89,2)</f>
        <v>0</v>
      </c>
      <c r="AB76" s="694">
        <f>AB69</f>
        <v>0</v>
      </c>
      <c r="AC76" s="694">
        <f>AB69</f>
        <v>0</v>
      </c>
      <c r="AE76" s="692" t="s">
        <v>765</v>
      </c>
      <c r="AF76" s="693">
        <f>ROUND(AG76*$B$89,2)</f>
        <v>77.55</v>
      </c>
      <c r="AG76" s="694">
        <f>AG69</f>
        <v>164.99</v>
      </c>
      <c r="AH76" s="694">
        <f>AG69</f>
        <v>164.99</v>
      </c>
      <c r="AJ76" s="692" t="s">
        <v>765</v>
      </c>
      <c r="AK76" s="693">
        <f>ROUND(AL76*$B$89,2)</f>
        <v>235</v>
      </c>
      <c r="AL76" s="694">
        <f>AL69</f>
        <v>499.99</v>
      </c>
      <c r="AM76" s="694">
        <f>AL69</f>
        <v>499.99</v>
      </c>
      <c r="AO76" s="692" t="s">
        <v>765</v>
      </c>
      <c r="AP76" s="693">
        <f>ROUND(AQ76*$B$89,2)</f>
        <v>0</v>
      </c>
      <c r="AQ76" s="694">
        <f>AQ69</f>
        <v>0</v>
      </c>
      <c r="AR76" s="694">
        <f>AQ69</f>
        <v>0</v>
      </c>
      <c r="AT76" s="692" t="s">
        <v>765</v>
      </c>
      <c r="AU76" s="693">
        <f>ROUND(AV76*$B$89,2)</f>
        <v>77.55</v>
      </c>
      <c r="AV76" s="694">
        <f>AV69</f>
        <v>164.99</v>
      </c>
      <c r="AW76" s="694">
        <f>AV69</f>
        <v>164.99</v>
      </c>
      <c r="AY76" s="692" t="s">
        <v>765</v>
      </c>
      <c r="AZ76" s="693">
        <f>ROUND(BA76*$B$89,2)</f>
        <v>235</v>
      </c>
      <c r="BA76" s="694">
        <f>BA69</f>
        <v>499.99</v>
      </c>
      <c r="BB76" s="694">
        <f>BA69</f>
        <v>499.99</v>
      </c>
      <c r="BD76" s="692" t="s">
        <v>765</v>
      </c>
      <c r="BE76" s="693">
        <f>ROUND(BF76*$B$89,2)</f>
        <v>0</v>
      </c>
      <c r="BF76" s="694">
        <f>BF69</f>
        <v>0</v>
      </c>
      <c r="BG76" s="694">
        <f>BF69</f>
        <v>0</v>
      </c>
      <c r="BI76" s="692" t="s">
        <v>765</v>
      </c>
      <c r="BJ76" s="693">
        <f>ROUND(BK76*$B$89,2)</f>
        <v>77.55</v>
      </c>
      <c r="BK76" s="694">
        <f>BK69</f>
        <v>164.99</v>
      </c>
      <c r="BL76" s="694">
        <f>BK69</f>
        <v>164.99</v>
      </c>
      <c r="BN76" s="692" t="s">
        <v>765</v>
      </c>
      <c r="BO76" s="693">
        <f>ROUND(BP76*$B$89,2)</f>
        <v>235</v>
      </c>
      <c r="BP76" s="694">
        <f>BP69</f>
        <v>499.99</v>
      </c>
      <c r="BQ76" s="694">
        <f>BP69</f>
        <v>499.99</v>
      </c>
      <c r="BS76" s="692" t="s">
        <v>765</v>
      </c>
      <c r="BT76" s="693">
        <f>ROUND(BU76*$B$89,2)</f>
        <v>0</v>
      </c>
      <c r="BU76" s="694">
        <f>BU69</f>
        <v>0</v>
      </c>
      <c r="BV76" s="694">
        <f>BU69</f>
        <v>0</v>
      </c>
    </row>
    <row r="77" spans="1:74" ht="16" thickBot="1">
      <c r="A77" s="692" t="s">
        <v>767</v>
      </c>
      <c r="B77" s="693">
        <f>ROUND(B76*B71,2)</f>
        <v>35250</v>
      </c>
      <c r="C77" s="694">
        <f>ROUND(C76*B71,2)</f>
        <v>74995</v>
      </c>
      <c r="D77" s="694">
        <f>ROUND(D76*B71,2)</f>
        <v>74995</v>
      </c>
      <c r="E77" s="668"/>
      <c r="F77" s="692" t="s">
        <v>767</v>
      </c>
      <c r="G77" s="693">
        <f>ROUND(G76*G71,2)</f>
        <v>23500</v>
      </c>
      <c r="H77" s="694">
        <f>ROUND(H76*G71,2)</f>
        <v>49999</v>
      </c>
      <c r="I77" s="694">
        <f>ROUND(I76*G71,2)</f>
        <v>49999</v>
      </c>
      <c r="J77" s="668"/>
      <c r="K77" s="692" t="s">
        <v>767</v>
      </c>
      <c r="L77" s="693">
        <f>ROUND(L76*L71,2)</f>
        <v>0</v>
      </c>
      <c r="M77" s="694">
        <f>ROUND(M76*L71,2)</f>
        <v>0</v>
      </c>
      <c r="N77" s="694">
        <f>ROUND(N76*L71,2)</f>
        <v>0</v>
      </c>
      <c r="O77" s="668"/>
      <c r="P77" s="692" t="s">
        <v>767</v>
      </c>
      <c r="Q77" s="693">
        <f>ROUND(Q76*Q71,2)</f>
        <v>37600</v>
      </c>
      <c r="R77" s="694">
        <f>ROUND(R76*Q71,2)</f>
        <v>79995</v>
      </c>
      <c r="S77" s="694">
        <f>ROUND(S76*Q71,2)</f>
        <v>79995</v>
      </c>
      <c r="U77" s="692" t="s">
        <v>767</v>
      </c>
      <c r="V77" s="693">
        <f>ROUND(V76*V71,2)</f>
        <v>23500</v>
      </c>
      <c r="W77" s="694">
        <f>ROUND(W76*V71,2)</f>
        <v>49999</v>
      </c>
      <c r="X77" s="694">
        <f>ROUND(X76*V71,2)</f>
        <v>49999</v>
      </c>
      <c r="Z77" s="692" t="s">
        <v>767</v>
      </c>
      <c r="AA77" s="693">
        <f>ROUND(AA76*AA71,2)</f>
        <v>0</v>
      </c>
      <c r="AB77" s="694">
        <f>ROUND(AB76*AA71,2)</f>
        <v>0</v>
      </c>
      <c r="AC77" s="694">
        <f>ROUND(AC76*AA71,2)</f>
        <v>0</v>
      </c>
      <c r="AE77" s="692" t="s">
        <v>767</v>
      </c>
      <c r="AF77" s="693">
        <f>ROUND(AF76*AF71,2)</f>
        <v>38775</v>
      </c>
      <c r="AG77" s="694">
        <f>ROUND(AG76*AF71,2)</f>
        <v>82495</v>
      </c>
      <c r="AH77" s="694">
        <f>ROUND(AH76*AF71,2)</f>
        <v>82495</v>
      </c>
      <c r="AJ77" s="692" t="s">
        <v>767</v>
      </c>
      <c r="AK77" s="693">
        <f>ROUND(AK76*AK71,2)</f>
        <v>23500</v>
      </c>
      <c r="AL77" s="694">
        <f>ROUND(AL76*AK71,2)</f>
        <v>49999</v>
      </c>
      <c r="AM77" s="694">
        <f>ROUND(AM76*AK71,2)</f>
        <v>49999</v>
      </c>
      <c r="AO77" s="692" t="s">
        <v>767</v>
      </c>
      <c r="AP77" s="693">
        <f>ROUND(AP76*AP71,2)</f>
        <v>0</v>
      </c>
      <c r="AQ77" s="694">
        <f>ROUND(AQ76*AP71,2)</f>
        <v>0</v>
      </c>
      <c r="AR77" s="694">
        <f>ROUND(AR76*AP71,2)</f>
        <v>0</v>
      </c>
      <c r="AT77" s="692" t="s">
        <v>767</v>
      </c>
      <c r="AU77" s="693">
        <f>ROUND(AU76*AU71,2)</f>
        <v>38775</v>
      </c>
      <c r="AV77" s="694">
        <f>ROUND(AV76*AU71,2)</f>
        <v>82495</v>
      </c>
      <c r="AW77" s="694">
        <f>ROUND(AW76*AU71,2)</f>
        <v>82495</v>
      </c>
      <c r="AY77" s="692" t="s">
        <v>767</v>
      </c>
      <c r="AZ77" s="693">
        <f>ROUND(AZ76*AZ71,2)</f>
        <v>23500</v>
      </c>
      <c r="BA77" s="694">
        <f>ROUND(BA76*AZ71,2)</f>
        <v>49999</v>
      </c>
      <c r="BB77" s="694">
        <f>ROUND(BB76*AZ71,2)</f>
        <v>49999</v>
      </c>
      <c r="BD77" s="692" t="s">
        <v>767</v>
      </c>
      <c r="BE77" s="693">
        <f>ROUND(BE76*BE71,2)</f>
        <v>0</v>
      </c>
      <c r="BF77" s="694">
        <f>ROUND(BF76*BE71,2)</f>
        <v>0</v>
      </c>
      <c r="BG77" s="694">
        <f>ROUND(BG76*BE71,2)</f>
        <v>0</v>
      </c>
      <c r="BI77" s="692" t="s">
        <v>767</v>
      </c>
      <c r="BJ77" s="693">
        <f>ROUND(BJ76*BJ71,2)</f>
        <v>38775</v>
      </c>
      <c r="BK77" s="694">
        <f>ROUND(BK76*BJ71,2)</f>
        <v>82495</v>
      </c>
      <c r="BL77" s="694">
        <f>ROUND(BL76*BJ71,2)</f>
        <v>82495</v>
      </c>
      <c r="BN77" s="692" t="s">
        <v>767</v>
      </c>
      <c r="BO77" s="693">
        <f>ROUND(BO76*BO71,2)</f>
        <v>23500</v>
      </c>
      <c r="BP77" s="694">
        <f>ROUND(BP76*BO71,2)</f>
        <v>49999</v>
      </c>
      <c r="BQ77" s="694">
        <f>ROUND(BQ76*BO71,2)</f>
        <v>49999</v>
      </c>
      <c r="BS77" s="692" t="s">
        <v>767</v>
      </c>
      <c r="BT77" s="693">
        <f>ROUND(BT76*BT71,2)</f>
        <v>0</v>
      </c>
      <c r="BU77" s="694">
        <f>ROUND(BU76*BT71,2)</f>
        <v>0</v>
      </c>
      <c r="BV77" s="694">
        <f>ROUND(BV76*BT71,2)</f>
        <v>0</v>
      </c>
    </row>
    <row r="78" spans="1:74">
      <c r="A78" s="668"/>
      <c r="B78" s="668"/>
      <c r="C78" s="668"/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668"/>
      <c r="P78" s="668"/>
      <c r="Q78" s="668"/>
      <c r="R78" s="668"/>
      <c r="S78" s="668"/>
      <c r="U78" s="668"/>
      <c r="V78" s="668"/>
      <c r="W78" s="668"/>
      <c r="X78" s="668"/>
      <c r="Z78" s="668"/>
      <c r="AA78" s="668"/>
      <c r="AB78" s="668"/>
      <c r="AC78" s="668"/>
      <c r="AE78" s="668"/>
      <c r="AF78" s="668"/>
      <c r="AG78" s="668"/>
      <c r="AH78" s="668"/>
      <c r="AJ78" s="668"/>
      <c r="AK78" s="668"/>
      <c r="AL78" s="668"/>
      <c r="AM78" s="668"/>
      <c r="AO78" s="668"/>
      <c r="AP78" s="668"/>
      <c r="AQ78" s="668"/>
      <c r="AR78" s="668"/>
      <c r="AT78" s="668"/>
      <c r="AU78" s="668"/>
      <c r="AV78" s="668"/>
      <c r="AW78" s="668"/>
      <c r="AY78" s="668"/>
      <c r="AZ78" s="668"/>
      <c r="BA78" s="668"/>
      <c r="BB78" s="668"/>
      <c r="BD78" s="668"/>
      <c r="BE78" s="668"/>
      <c r="BF78" s="668"/>
      <c r="BG78" s="668"/>
      <c r="BI78" s="668"/>
      <c r="BJ78" s="668"/>
      <c r="BK78" s="668"/>
      <c r="BL78" s="668"/>
      <c r="BN78" s="668"/>
      <c r="BO78" s="668"/>
      <c r="BP78" s="668"/>
      <c r="BQ78" s="668"/>
      <c r="BS78" s="668"/>
      <c r="BT78" s="668"/>
      <c r="BU78" s="668"/>
      <c r="BV78" s="668"/>
    </row>
    <row r="79" spans="1:74">
      <c r="A79" s="668" t="s">
        <v>149</v>
      </c>
      <c r="B79" s="696">
        <f>B13+B29+B45+B61+B73</f>
        <v>11559000</v>
      </c>
      <c r="C79" s="668"/>
      <c r="D79" s="697"/>
      <c r="E79" s="668"/>
      <c r="F79" s="668" t="s">
        <v>149</v>
      </c>
      <c r="G79" s="696">
        <f>G13+G29+G45+G61+G73</f>
        <v>15092000</v>
      </c>
      <c r="H79" s="668"/>
      <c r="I79" s="697"/>
      <c r="J79" s="668"/>
      <c r="K79" s="668" t="s">
        <v>149</v>
      </c>
      <c r="L79" s="696">
        <f>L13+L29+L45+L61+L73</f>
        <v>20000</v>
      </c>
      <c r="M79" s="668"/>
      <c r="N79" s="697"/>
      <c r="O79" s="668"/>
      <c r="P79" s="668" t="s">
        <v>149</v>
      </c>
      <c r="Q79" s="696">
        <f>Q13+Q29+Q45+Q61+Q73</f>
        <v>12790000</v>
      </c>
      <c r="R79" s="668"/>
      <c r="S79" s="697"/>
      <c r="U79" s="668" t="s">
        <v>149</v>
      </c>
      <c r="V79" s="696">
        <f>V13+V29+V45+V61+V73</f>
        <v>17724000</v>
      </c>
      <c r="W79" s="668"/>
      <c r="X79" s="697"/>
      <c r="Z79" s="668" t="s">
        <v>149</v>
      </c>
      <c r="AA79" s="696">
        <f>AA13+AA29+AA45+AA61+AA73</f>
        <v>20000</v>
      </c>
      <c r="AB79" s="668"/>
      <c r="AC79" s="697"/>
      <c r="AE79" s="668" t="s">
        <v>149</v>
      </c>
      <c r="AF79" s="696">
        <f>AF13+AF29+AF45+AF61+AF73</f>
        <v>17670000</v>
      </c>
      <c r="AG79" s="668"/>
      <c r="AH79" s="697"/>
      <c r="AJ79" s="668" t="s">
        <v>149</v>
      </c>
      <c r="AK79" s="696">
        <f>AK13+AK29+AK45+AK61+AK73</f>
        <v>25236000</v>
      </c>
      <c r="AL79" s="668"/>
      <c r="AM79" s="697"/>
      <c r="AO79" s="668" t="s">
        <v>149</v>
      </c>
      <c r="AP79" s="696">
        <f>AP13+AP29+AP45+AP61+AP73</f>
        <v>28000</v>
      </c>
      <c r="AQ79" s="668"/>
      <c r="AR79" s="697"/>
      <c r="AT79" s="668" t="s">
        <v>149</v>
      </c>
      <c r="AU79" s="696">
        <f>AU13+AU29+AU45+AU61+AU73</f>
        <v>21550000</v>
      </c>
      <c r="AV79" s="668"/>
      <c r="AW79" s="697"/>
      <c r="AY79" s="668" t="s">
        <v>149</v>
      </c>
      <c r="AZ79" s="696" t="e">
        <f>AZ13+AZ29+AZ45+AZ61+AZ73</f>
        <v>#REF!</v>
      </c>
      <c r="BA79" s="668"/>
      <c r="BB79" s="697"/>
      <c r="BD79" s="668" t="s">
        <v>149</v>
      </c>
      <c r="BE79" s="696">
        <f>BE13+BE29+BE45+BE61+BE73</f>
        <v>40000</v>
      </c>
      <c r="BF79" s="668"/>
      <c r="BG79" s="697"/>
      <c r="BI79" s="668" t="s">
        <v>149</v>
      </c>
      <c r="BJ79" s="696">
        <f>BJ13+BJ29+BJ45+BJ61+BJ73</f>
        <v>25430000</v>
      </c>
      <c r="BK79" s="668"/>
      <c r="BL79" s="697"/>
      <c r="BN79" s="668" t="s">
        <v>149</v>
      </c>
      <c r="BO79" s="696">
        <f>BO13+BO29+BO45+BO61+BO73</f>
        <v>36980000</v>
      </c>
      <c r="BP79" s="668"/>
      <c r="BQ79" s="697"/>
      <c r="BS79" s="668" t="s">
        <v>149</v>
      </c>
      <c r="BT79" s="696">
        <f>BT13+BT29+BT45+BT61+BT73</f>
        <v>50000</v>
      </c>
      <c r="BU79" s="668"/>
      <c r="BV79" s="697"/>
    </row>
    <row r="80" spans="1:74">
      <c r="A80" s="668" t="s">
        <v>761</v>
      </c>
      <c r="B80" s="696">
        <f>B12+B28+B44+B60</f>
        <v>976000</v>
      </c>
      <c r="C80" s="668"/>
      <c r="D80" s="697"/>
      <c r="E80" s="668"/>
      <c r="F80" s="668" t="s">
        <v>761</v>
      </c>
      <c r="G80" s="696">
        <f>G12+G28+G44+G60</f>
        <v>1136000</v>
      </c>
      <c r="H80" s="668"/>
      <c r="I80" s="697"/>
      <c r="J80" s="668"/>
      <c r="K80" s="668" t="s">
        <v>761</v>
      </c>
      <c r="L80" s="696">
        <f>L12+L28+L44+L60</f>
        <v>2000</v>
      </c>
      <c r="M80" s="668"/>
      <c r="N80" s="697"/>
      <c r="O80" s="668"/>
      <c r="P80" s="668" t="s">
        <v>761</v>
      </c>
      <c r="Q80" s="696">
        <f>Q12+Q28+Q44+Q60</f>
        <v>1104000</v>
      </c>
      <c r="R80" s="668"/>
      <c r="S80" s="697"/>
      <c r="U80" s="668" t="s">
        <v>761</v>
      </c>
      <c r="V80" s="696">
        <f>V12+V28+V44+V60</f>
        <v>1392000</v>
      </c>
      <c r="W80" s="668"/>
      <c r="X80" s="697"/>
      <c r="Z80" s="668" t="s">
        <v>761</v>
      </c>
      <c r="AA80" s="696">
        <f>AA12+AA28+AA44+AA60</f>
        <v>2000</v>
      </c>
      <c r="AB80" s="668"/>
      <c r="AC80" s="697"/>
      <c r="AE80" s="668" t="s">
        <v>761</v>
      </c>
      <c r="AF80" s="696">
        <f>AF12+AF28+AF44+AF60</f>
        <v>1512000</v>
      </c>
      <c r="AG80" s="668"/>
      <c r="AH80" s="697"/>
      <c r="AJ80" s="668" t="s">
        <v>761</v>
      </c>
      <c r="AK80" s="696">
        <f>AK12+AK28+AK44+AK60</f>
        <v>1968000</v>
      </c>
      <c r="AL80" s="668"/>
      <c r="AM80" s="697"/>
      <c r="AO80" s="668" t="s">
        <v>761</v>
      </c>
      <c r="AP80" s="696">
        <f>AP12+AP28+AP44+AP60</f>
        <v>2800</v>
      </c>
      <c r="AQ80" s="668"/>
      <c r="AR80" s="697"/>
      <c r="AT80" s="668" t="s">
        <v>761</v>
      </c>
      <c r="AU80" s="696">
        <f>AU12+AU28+AU44+AU60</f>
        <v>1860000</v>
      </c>
      <c r="AV80" s="668"/>
      <c r="AW80" s="697"/>
      <c r="AY80" s="668" t="s">
        <v>761</v>
      </c>
      <c r="AZ80" s="696" t="e">
        <f>AZ12+AZ28+AZ44+AZ60</f>
        <v>#REF!</v>
      </c>
      <c r="BA80" s="668"/>
      <c r="BB80" s="697"/>
      <c r="BD80" s="668" t="s">
        <v>761</v>
      </c>
      <c r="BE80" s="696">
        <f>BE12+BE28+BE44+BE60</f>
        <v>4000</v>
      </c>
      <c r="BF80" s="668"/>
      <c r="BG80" s="697"/>
      <c r="BI80" s="668" t="s">
        <v>761</v>
      </c>
      <c r="BJ80" s="696">
        <f>BJ12+BJ28+BJ44+BJ60</f>
        <v>2208000</v>
      </c>
      <c r="BK80" s="668"/>
      <c r="BL80" s="697"/>
      <c r="BN80" s="668" t="s">
        <v>761</v>
      </c>
      <c r="BO80" s="696">
        <f>BO12+BO28+BO44+BO60</f>
        <v>2880000</v>
      </c>
      <c r="BP80" s="668"/>
      <c r="BQ80" s="697"/>
      <c r="BS80" s="668" t="s">
        <v>761</v>
      </c>
      <c r="BT80" s="696">
        <f>BT12+BT28+BT44+BT60</f>
        <v>5000</v>
      </c>
      <c r="BU80" s="668"/>
      <c r="BV80" s="697"/>
    </row>
    <row r="81" spans="1:74">
      <c r="A81" s="668" t="s">
        <v>144</v>
      </c>
      <c r="B81" s="696">
        <f>B9+B41+B25+B57+B71</f>
        <v>126500</v>
      </c>
      <c r="C81" s="668"/>
      <c r="D81" s="697"/>
      <c r="E81" s="668"/>
      <c r="F81" s="668" t="s">
        <v>144</v>
      </c>
      <c r="G81" s="696">
        <f>G9+G41+G25+G57+G71</f>
        <v>208100</v>
      </c>
      <c r="H81" s="668"/>
      <c r="I81" s="697"/>
      <c r="J81" s="668"/>
      <c r="K81" s="668" t="s">
        <v>144</v>
      </c>
      <c r="L81" s="696">
        <f>L9+L41+L25+L57+L71</f>
        <v>2000</v>
      </c>
      <c r="M81" s="668"/>
      <c r="N81" s="697"/>
      <c r="O81" s="668"/>
      <c r="P81" s="668" t="s">
        <v>144</v>
      </c>
      <c r="Q81" s="696">
        <f>Q9+Q41+Q25+Q57+Q71</f>
        <v>156500</v>
      </c>
      <c r="R81" s="668"/>
      <c r="S81" s="697"/>
      <c r="U81" s="668" t="s">
        <v>144</v>
      </c>
      <c r="V81" s="696">
        <f>V9+V41+V25+V57+V71</f>
        <v>266100</v>
      </c>
      <c r="W81" s="668"/>
      <c r="X81" s="697"/>
      <c r="Z81" s="668" t="s">
        <v>144</v>
      </c>
      <c r="AA81" s="696">
        <f>AA9+AA41+AA25+AA57+AA71</f>
        <v>2000</v>
      </c>
      <c r="AB81" s="668"/>
      <c r="AC81" s="697"/>
      <c r="AE81" s="668" t="s">
        <v>144</v>
      </c>
      <c r="AF81" s="696">
        <f>AF9+AF41+AF25+AF57+AF71</f>
        <v>228500</v>
      </c>
      <c r="AG81" s="668"/>
      <c r="AH81" s="697"/>
      <c r="AJ81" s="668" t="s">
        <v>144</v>
      </c>
      <c r="AK81" s="696">
        <f>AK9+AK41+AK25+AK57+AK71</f>
        <v>404100</v>
      </c>
      <c r="AL81" s="668"/>
      <c r="AM81" s="697"/>
      <c r="AO81" s="668" t="s">
        <v>144</v>
      </c>
      <c r="AP81" s="696">
        <f>AP9+AP41+AP25+AP57+AP71</f>
        <v>2800</v>
      </c>
      <c r="AQ81" s="668"/>
      <c r="AR81" s="697"/>
      <c r="AT81" s="668" t="s">
        <v>144</v>
      </c>
      <c r="AU81" s="696">
        <f>AU9+AU41+AU25+AU57+AU71</f>
        <v>270500</v>
      </c>
      <c r="AV81" s="668"/>
      <c r="AW81" s="697"/>
      <c r="AY81" s="668" t="s">
        <v>144</v>
      </c>
      <c r="AZ81" s="696">
        <f>AZ9+AZ41+AZ25+AZ57+AZ71</f>
        <v>496100</v>
      </c>
      <c r="BA81" s="668"/>
      <c r="BB81" s="697"/>
      <c r="BD81" s="668" t="s">
        <v>144</v>
      </c>
      <c r="BE81" s="696">
        <f>BE9+BE41+BE25+BE57+BE71</f>
        <v>4000</v>
      </c>
      <c r="BF81" s="668"/>
      <c r="BG81" s="697"/>
      <c r="BI81" s="668" t="s">
        <v>144</v>
      </c>
      <c r="BJ81" s="696">
        <f>BJ9+BJ41+BJ25+BJ57+BJ71</f>
        <v>312500</v>
      </c>
      <c r="BK81" s="668"/>
      <c r="BL81" s="697"/>
      <c r="BN81" s="668" t="s">
        <v>144</v>
      </c>
      <c r="BO81" s="696">
        <f>BO9+BO41+BO25+BO57+BO71</f>
        <v>600100</v>
      </c>
      <c r="BP81" s="668"/>
      <c r="BQ81" s="697"/>
      <c r="BS81" s="668" t="s">
        <v>144</v>
      </c>
      <c r="BT81" s="696">
        <f>BT9+BT41+BT25+BT57+BT71</f>
        <v>5000</v>
      </c>
      <c r="BU81" s="668"/>
      <c r="BV81" s="697"/>
    </row>
    <row r="82" spans="1:74">
      <c r="A82" s="668" t="s">
        <v>140</v>
      </c>
      <c r="B82" s="696">
        <f>B7+B23+B39+B55</f>
        <v>5700</v>
      </c>
      <c r="C82" s="668"/>
      <c r="D82" s="698"/>
      <c r="E82" s="668"/>
      <c r="F82" s="668" t="s">
        <v>140</v>
      </c>
      <c r="G82" s="696">
        <f>G7+G23+G39+G55</f>
        <v>10000</v>
      </c>
      <c r="H82" s="668"/>
      <c r="I82" s="698"/>
      <c r="J82" s="668"/>
      <c r="K82" s="668" t="s">
        <v>140</v>
      </c>
      <c r="L82" s="696">
        <f>L7+L23+L39+L55</f>
        <v>500</v>
      </c>
      <c r="M82" s="668"/>
      <c r="N82" s="698"/>
      <c r="O82" s="668"/>
      <c r="P82" s="668" t="s">
        <v>140</v>
      </c>
      <c r="Q82" s="696">
        <f>Q7+Q23+Q39+Q55</f>
        <v>7000</v>
      </c>
      <c r="U82" s="668" t="s">
        <v>140</v>
      </c>
      <c r="V82" s="696">
        <f>V7+V23+V39+V55</f>
        <v>13000</v>
      </c>
      <c r="Z82" s="668" t="s">
        <v>140</v>
      </c>
      <c r="AA82" s="696">
        <f>AA7+AA23+AA39+AA55</f>
        <v>500</v>
      </c>
      <c r="AE82" s="668" t="s">
        <v>140</v>
      </c>
      <c r="AF82" s="696">
        <f>AF7+AF23+AF39+AF55</f>
        <v>10000</v>
      </c>
      <c r="AJ82" s="668" t="s">
        <v>140</v>
      </c>
      <c r="AK82" s="696">
        <f>AK7+AK23+AK39+AK55</f>
        <v>19000</v>
      </c>
      <c r="AO82" s="668" t="s">
        <v>140</v>
      </c>
      <c r="AP82" s="696">
        <f>AP7+AP23+AP39+AP55</f>
        <v>700</v>
      </c>
      <c r="AT82" s="668" t="s">
        <v>140</v>
      </c>
      <c r="AU82" s="696">
        <f>AU7+AU23+AU39+AU55</f>
        <v>12000</v>
      </c>
      <c r="AY82" s="668" t="s">
        <v>140</v>
      </c>
      <c r="AZ82" s="696">
        <f>AZ7+AZ23+AZ39+AZ55</f>
        <v>23000</v>
      </c>
      <c r="BD82" s="668" t="s">
        <v>140</v>
      </c>
      <c r="BE82" s="696">
        <f>BE7+BE23+BE39+BE55</f>
        <v>1000</v>
      </c>
      <c r="BI82" s="668" t="s">
        <v>140</v>
      </c>
      <c r="BJ82" s="696">
        <f>BJ7+BJ23+BJ39+BJ55</f>
        <v>14000</v>
      </c>
      <c r="BN82" s="668" t="s">
        <v>140</v>
      </c>
      <c r="BO82" s="696">
        <f>BO7+BO23+BO39+BO55</f>
        <v>28000</v>
      </c>
      <c r="BS82" s="668" t="s">
        <v>140</v>
      </c>
      <c r="BT82" s="696">
        <f>BT7+BT23+BT39+BT55</f>
        <v>1250</v>
      </c>
    </row>
    <row r="83" spans="1:74" ht="16" thickBot="1"/>
    <row r="84" spans="1:74">
      <c r="A84" s="573"/>
      <c r="B84" s="574"/>
      <c r="C84" s="574"/>
      <c r="D84" s="575"/>
      <c r="F84" s="573"/>
      <c r="G84" s="574"/>
      <c r="H84" s="574"/>
      <c r="I84" s="575"/>
      <c r="K84" s="573"/>
      <c r="L84" s="574"/>
      <c r="M84" s="574"/>
      <c r="N84" s="575"/>
      <c r="P84" s="573"/>
      <c r="Q84" s="574"/>
      <c r="R84" s="574"/>
      <c r="S84" s="575"/>
      <c r="U84" s="573"/>
      <c r="V84" s="574"/>
      <c r="W84" s="574"/>
      <c r="X84" s="575"/>
      <c r="Z84" s="573"/>
      <c r="AA84" s="574"/>
      <c r="AB84" s="574"/>
      <c r="AC84" s="575"/>
      <c r="AE84" s="573"/>
      <c r="AF84" s="574"/>
      <c r="AG84" s="574"/>
      <c r="AH84" s="575"/>
      <c r="AJ84" s="573"/>
      <c r="AK84" s="574"/>
      <c r="AL84" s="574"/>
      <c r="AM84" s="575"/>
      <c r="AO84" s="573"/>
      <c r="AP84" s="574"/>
      <c r="AQ84" s="574"/>
      <c r="AR84" s="575"/>
      <c r="AT84" s="573"/>
      <c r="AU84" s="574"/>
      <c r="AV84" s="574"/>
      <c r="AW84" s="575"/>
      <c r="AY84" s="573"/>
      <c r="AZ84" s="574"/>
      <c r="BA84" s="574"/>
      <c r="BB84" s="575"/>
      <c r="BD84" s="573"/>
      <c r="BE84" s="574"/>
      <c r="BF84" s="574"/>
      <c r="BG84" s="575"/>
      <c r="BI84" s="573"/>
      <c r="BJ84" s="574"/>
      <c r="BK84" s="574"/>
      <c r="BL84" s="575"/>
      <c r="BN84" s="573"/>
      <c r="BO84" s="574"/>
      <c r="BP84" s="574"/>
      <c r="BQ84" s="575"/>
      <c r="BS84" s="573"/>
      <c r="BT84" s="574"/>
      <c r="BU84" s="574"/>
      <c r="BV84" s="575"/>
    </row>
    <row r="85" spans="1:74">
      <c r="A85" s="576" t="s">
        <v>18</v>
      </c>
      <c r="B85" s="577"/>
      <c r="C85" s="699">
        <f>D18+D34+D50+D66+D77</f>
        <v>5433735</v>
      </c>
      <c r="D85" s="579"/>
      <c r="F85" s="576" t="s">
        <v>18</v>
      </c>
      <c r="G85" s="577"/>
      <c r="H85" s="699">
        <f>I18+I34+I50+I66+I77</f>
        <v>16847919</v>
      </c>
      <c r="I85" s="579"/>
      <c r="K85" s="576" t="s">
        <v>18</v>
      </c>
      <c r="L85" s="577"/>
      <c r="M85" s="699">
        <f>N18+N34+N50+N66+N77</f>
        <v>999980</v>
      </c>
      <c r="N85" s="579"/>
      <c r="P85" s="576" t="s">
        <v>18</v>
      </c>
      <c r="Q85" s="577"/>
      <c r="R85" s="699">
        <f>S18+S34+S50+S66+S77</f>
        <v>7118435</v>
      </c>
      <c r="S85" s="579"/>
      <c r="U85" s="576" t="s">
        <v>18</v>
      </c>
      <c r="V85" s="577"/>
      <c r="W85" s="699">
        <f>X18+X34+X50+X66+X77</f>
        <v>23147339</v>
      </c>
      <c r="X85" s="579"/>
      <c r="Z85" s="576" t="s">
        <v>18</v>
      </c>
      <c r="AA85" s="577"/>
      <c r="AB85" s="699">
        <f>AC18+AC34+AC50+AC66+AC77</f>
        <v>999980</v>
      </c>
      <c r="AC85" s="579"/>
      <c r="AE85" s="576" t="s">
        <v>18</v>
      </c>
      <c r="AF85" s="577"/>
      <c r="AG85" s="699">
        <f>AH18+AH34+AH50+AH66+AH77</f>
        <v>10580215</v>
      </c>
      <c r="AH85" s="579"/>
      <c r="AJ85" s="576" t="s">
        <v>18</v>
      </c>
      <c r="AK85" s="577"/>
      <c r="AL85" s="699">
        <f>AM18+AM34+AM50+AM66+AM77</f>
        <v>32485959</v>
      </c>
      <c r="AM85" s="579"/>
      <c r="AO85" s="576" t="s">
        <v>18</v>
      </c>
      <c r="AP85" s="577"/>
      <c r="AQ85" s="699">
        <f>AR18+AR34+AR50+AR66+AR77</f>
        <v>1399972</v>
      </c>
      <c r="AR85" s="579"/>
      <c r="AT85" s="576" t="s">
        <v>18</v>
      </c>
      <c r="AU85" s="577"/>
      <c r="AV85" s="699">
        <f>AW18+AW34+AW50+AW66+AW77</f>
        <v>12889795</v>
      </c>
      <c r="AW85" s="579"/>
      <c r="AY85" s="576" t="s">
        <v>18</v>
      </c>
      <c r="AZ85" s="577"/>
      <c r="BA85" s="699">
        <f>BB18+BB34+BB50+BB66+BB77</f>
        <v>38345039</v>
      </c>
      <c r="BB85" s="579"/>
      <c r="BD85" s="576" t="s">
        <v>18</v>
      </c>
      <c r="BE85" s="577"/>
      <c r="BF85" s="699">
        <f>BG18+BG34+BG50+BG66+BG77</f>
        <v>1999960</v>
      </c>
      <c r="BG85" s="579"/>
      <c r="BI85" s="576" t="s">
        <v>18</v>
      </c>
      <c r="BJ85" s="577"/>
      <c r="BK85" s="699">
        <f>BL18+BL34+BL50+BL66+BL77</f>
        <v>15199375</v>
      </c>
      <c r="BL85" s="579"/>
      <c r="BN85" s="576" t="s">
        <v>18</v>
      </c>
      <c r="BO85" s="577"/>
      <c r="BP85" s="699">
        <f>BQ18+BQ34+BQ50+BQ66+BQ77</f>
        <v>47203999</v>
      </c>
      <c r="BQ85" s="579"/>
      <c r="BS85" s="576" t="s">
        <v>18</v>
      </c>
      <c r="BT85" s="577"/>
      <c r="BU85" s="699">
        <f>BV18+BV34+BV50+BV66+BV77</f>
        <v>2499950</v>
      </c>
      <c r="BV85" s="579"/>
    </row>
    <row r="86" spans="1:74">
      <c r="A86" s="580" t="s">
        <v>728</v>
      </c>
      <c r="B86" s="700">
        <f>C86/C85</f>
        <v>0.57314904020899071</v>
      </c>
      <c r="C86" s="701">
        <f>C18+C34+C50+C66+C77</f>
        <v>3114340</v>
      </c>
      <c r="D86" s="579"/>
      <c r="F86" s="580" t="s">
        <v>728</v>
      </c>
      <c r="G86" s="700">
        <f>H86/H85</f>
        <v>0.57270687258171171</v>
      </c>
      <c r="H86" s="701">
        <f>H18+H34+H50+H66+H77</f>
        <v>9648919</v>
      </c>
      <c r="I86" s="579"/>
      <c r="K86" s="580" t="s">
        <v>728</v>
      </c>
      <c r="L86" s="700">
        <f>M86/M85</f>
        <v>0.60000200004000082</v>
      </c>
      <c r="M86" s="701">
        <f>M18+M34+M50+M66+M77</f>
        <v>599990</v>
      </c>
      <c r="N86" s="579"/>
      <c r="P86" s="580" t="s">
        <v>728</v>
      </c>
      <c r="Q86" s="700">
        <f>L86</f>
        <v>0.60000200004000082</v>
      </c>
      <c r="R86" s="701">
        <f>R18+R34+R50+R66+R77</f>
        <v>4067185</v>
      </c>
      <c r="S86" s="579"/>
      <c r="U86" s="580" t="s">
        <v>728</v>
      </c>
      <c r="V86" s="700">
        <f>Q86</f>
        <v>0.60000200004000082</v>
      </c>
      <c r="W86" s="701">
        <f>W18+W34+W50+W66+W77</f>
        <v>13248614</v>
      </c>
      <c r="X86" s="579"/>
      <c r="Z86" s="580" t="s">
        <v>728</v>
      </c>
      <c r="AA86" s="700">
        <f>V86</f>
        <v>0.60000200004000082</v>
      </c>
      <c r="AB86" s="701">
        <f>AB18+AB34+AB50+AB66+AB77</f>
        <v>599990</v>
      </c>
      <c r="AC86" s="579"/>
      <c r="AE86" s="580" t="s">
        <v>728</v>
      </c>
      <c r="AF86" s="700">
        <f>AA86</f>
        <v>0.60000200004000082</v>
      </c>
      <c r="AG86" s="701">
        <f>AG18+AG34+AG50+AG66+AG77</f>
        <v>6003315</v>
      </c>
      <c r="AH86" s="579"/>
      <c r="AJ86" s="580" t="s">
        <v>728</v>
      </c>
      <c r="AK86" s="700">
        <f>AF86</f>
        <v>0.60000200004000082</v>
      </c>
      <c r="AL86" s="701">
        <f>AL18+AL34+AL50+AL66+AL77</f>
        <v>18367909</v>
      </c>
      <c r="AM86" s="579"/>
      <c r="AO86" s="580" t="s">
        <v>728</v>
      </c>
      <c r="AP86" s="700">
        <f>AK86</f>
        <v>0.60000200004000082</v>
      </c>
      <c r="AQ86" s="701">
        <f>AQ18+AQ34+AQ50+AQ66+AQ77</f>
        <v>839986</v>
      </c>
      <c r="AR86" s="579"/>
      <c r="AT86" s="580" t="s">
        <v>728</v>
      </c>
      <c r="AU86" s="700">
        <f>AP86</f>
        <v>0.60000200004000082</v>
      </c>
      <c r="AV86" s="701">
        <f>AV18+AV34+AV50+AV66+AV77</f>
        <v>7326095</v>
      </c>
      <c r="AW86" s="579"/>
      <c r="AY86" s="580" t="s">
        <v>728</v>
      </c>
      <c r="AZ86" s="700">
        <f>AU86</f>
        <v>0.60000200004000082</v>
      </c>
      <c r="BA86" s="701">
        <f>BA18+BA34+BA50+BA66+BA77</f>
        <v>21597439</v>
      </c>
      <c r="BB86" s="579"/>
      <c r="BD86" s="580" t="s">
        <v>728</v>
      </c>
      <c r="BE86" s="700">
        <f>AZ86</f>
        <v>0.60000200004000082</v>
      </c>
      <c r="BF86" s="701">
        <f>BF18+BF34+BF50+BF66+BF77</f>
        <v>1199980</v>
      </c>
      <c r="BG86" s="579"/>
      <c r="BI86" s="580" t="s">
        <v>728</v>
      </c>
      <c r="BJ86" s="700">
        <f>BE86</f>
        <v>0.60000200004000082</v>
      </c>
      <c r="BK86" s="701">
        <f>BK18+BK34+BK50+BK66+BK77</f>
        <v>8648875</v>
      </c>
      <c r="BL86" s="579"/>
      <c r="BN86" s="580" t="s">
        <v>728</v>
      </c>
      <c r="BO86" s="700">
        <f>BJ86</f>
        <v>0.60000200004000082</v>
      </c>
      <c r="BP86" s="701">
        <f>BP18+BP34+BP50+BP66+BP77</f>
        <v>26626899</v>
      </c>
      <c r="BQ86" s="579"/>
      <c r="BS86" s="580" t="s">
        <v>728</v>
      </c>
      <c r="BT86" s="700">
        <f>BO86</f>
        <v>0.60000200004000082</v>
      </c>
      <c r="BU86" s="701">
        <f>BU18+BU34+BU50+BU66+BU77</f>
        <v>1499975</v>
      </c>
      <c r="BV86" s="579"/>
    </row>
    <row r="87" spans="1:74">
      <c r="A87" s="580" t="s">
        <v>870</v>
      </c>
      <c r="B87" s="700">
        <f>'BKFC Inputs'!G12</f>
        <v>0.05</v>
      </c>
      <c r="C87" s="701">
        <f>-ROUND(C86*B87,2)</f>
        <v>-155717</v>
      </c>
      <c r="D87" s="579"/>
      <c r="F87" s="580" t="s">
        <v>870</v>
      </c>
      <c r="G87" s="700">
        <f>'BKFC Inputs'!G12</f>
        <v>0.05</v>
      </c>
      <c r="H87" s="701">
        <f>-ROUND(H86*G87,2)</f>
        <v>-482445.95</v>
      </c>
      <c r="I87" s="579"/>
      <c r="K87" s="580" t="s">
        <v>870</v>
      </c>
      <c r="L87" s="700">
        <f>B87</f>
        <v>0.05</v>
      </c>
      <c r="M87" s="701">
        <f>-ROUND(M86*L87,2)</f>
        <v>-29999.5</v>
      </c>
      <c r="N87" s="579"/>
      <c r="P87" s="580" t="s">
        <v>870</v>
      </c>
      <c r="Q87" s="700">
        <f>L87</f>
        <v>0.05</v>
      </c>
      <c r="R87" s="701">
        <f>-ROUND(R86*Q87,2)</f>
        <v>-203359.25</v>
      </c>
      <c r="S87" s="579"/>
      <c r="U87" s="580" t="s">
        <v>870</v>
      </c>
      <c r="V87" s="700">
        <f>Q87</f>
        <v>0.05</v>
      </c>
      <c r="W87" s="701">
        <f>-ROUND(W86*V87,2)</f>
        <v>-662430.69999999995</v>
      </c>
      <c r="X87" s="579"/>
      <c r="Z87" s="580" t="s">
        <v>870</v>
      </c>
      <c r="AA87" s="700">
        <f>V87</f>
        <v>0.05</v>
      </c>
      <c r="AB87" s="701">
        <f>-ROUND(AB86*AA87,2)</f>
        <v>-29999.5</v>
      </c>
      <c r="AC87" s="579"/>
      <c r="AE87" s="580" t="s">
        <v>870</v>
      </c>
      <c r="AF87" s="700">
        <f>AA87</f>
        <v>0.05</v>
      </c>
      <c r="AG87" s="701">
        <f>-ROUND(AG86*AF87,2)</f>
        <v>-300165.75</v>
      </c>
      <c r="AH87" s="579"/>
      <c r="AJ87" s="580" t="s">
        <v>870</v>
      </c>
      <c r="AK87" s="700">
        <f>AF87</f>
        <v>0.05</v>
      </c>
      <c r="AL87" s="701">
        <f>-ROUND(AL86*AK87,2)</f>
        <v>-918395.45</v>
      </c>
      <c r="AM87" s="579"/>
      <c r="AO87" s="580" t="s">
        <v>870</v>
      </c>
      <c r="AP87" s="700">
        <f>AK87</f>
        <v>0.05</v>
      </c>
      <c r="AQ87" s="701">
        <f>-ROUND(AQ86*AP87,2)</f>
        <v>-41999.3</v>
      </c>
      <c r="AR87" s="579"/>
      <c r="AT87" s="580" t="s">
        <v>870</v>
      </c>
      <c r="AU87" s="700">
        <f>AP87</f>
        <v>0.05</v>
      </c>
      <c r="AV87" s="701">
        <f>-ROUND(AV86*AU87,2)</f>
        <v>-366304.75</v>
      </c>
      <c r="AW87" s="579"/>
      <c r="AY87" s="580" t="s">
        <v>870</v>
      </c>
      <c r="AZ87" s="700">
        <f>AU87</f>
        <v>0.05</v>
      </c>
      <c r="BA87" s="701">
        <f>-ROUND(BA86*AZ87,2)</f>
        <v>-1079871.95</v>
      </c>
      <c r="BB87" s="579"/>
      <c r="BD87" s="580" t="s">
        <v>870</v>
      </c>
      <c r="BE87" s="700">
        <f>AZ87</f>
        <v>0.05</v>
      </c>
      <c r="BF87" s="701">
        <f>-ROUND(BF86*BE87,2)</f>
        <v>-59999</v>
      </c>
      <c r="BG87" s="579"/>
      <c r="BI87" s="580" t="s">
        <v>870</v>
      </c>
      <c r="BJ87" s="700">
        <f>BE87</f>
        <v>0.05</v>
      </c>
      <c r="BK87" s="701">
        <f>-ROUND(BK86*BJ87,2)</f>
        <v>-432443.75</v>
      </c>
      <c r="BL87" s="579"/>
      <c r="BN87" s="580" t="s">
        <v>870</v>
      </c>
      <c r="BO87" s="700">
        <f>BJ87</f>
        <v>0.05</v>
      </c>
      <c r="BP87" s="701">
        <f>-ROUND(BP86*BO87,2)</f>
        <v>-1331344.95</v>
      </c>
      <c r="BQ87" s="579"/>
      <c r="BS87" s="580" t="s">
        <v>870</v>
      </c>
      <c r="BT87" s="700">
        <f>BO87</f>
        <v>0.05</v>
      </c>
      <c r="BU87" s="701">
        <f>-ROUND(BU86*BT87,2)</f>
        <v>-74998.75</v>
      </c>
      <c r="BV87" s="579"/>
    </row>
    <row r="88" spans="1:74">
      <c r="A88" s="580" t="s">
        <v>730</v>
      </c>
      <c r="B88" s="700"/>
      <c r="C88" s="702">
        <f>C86+C87</f>
        <v>2958623</v>
      </c>
      <c r="D88" s="579"/>
      <c r="F88" s="580" t="s">
        <v>730</v>
      </c>
      <c r="G88" s="700"/>
      <c r="H88" s="702">
        <f>H86+H87</f>
        <v>9166473.0500000007</v>
      </c>
      <c r="I88" s="579"/>
      <c r="K88" s="580" t="s">
        <v>730</v>
      </c>
      <c r="L88" s="700"/>
      <c r="M88" s="702">
        <f>M86+M87</f>
        <v>569990.5</v>
      </c>
      <c r="N88" s="579"/>
      <c r="P88" s="580" t="s">
        <v>730</v>
      </c>
      <c r="Q88" s="700"/>
      <c r="R88" s="702">
        <f>R86+R87</f>
        <v>3863825.75</v>
      </c>
      <c r="S88" s="579"/>
      <c r="U88" s="580" t="s">
        <v>730</v>
      </c>
      <c r="V88" s="700"/>
      <c r="W88" s="702">
        <f>W86+W87</f>
        <v>12586183.300000001</v>
      </c>
      <c r="X88" s="579"/>
      <c r="Z88" s="580" t="s">
        <v>730</v>
      </c>
      <c r="AA88" s="700"/>
      <c r="AB88" s="702">
        <f>AB86+AB87</f>
        <v>569990.5</v>
      </c>
      <c r="AC88" s="579"/>
      <c r="AE88" s="580" t="s">
        <v>730</v>
      </c>
      <c r="AF88" s="700"/>
      <c r="AG88" s="702">
        <f>AG86+AG87</f>
        <v>5703149.25</v>
      </c>
      <c r="AH88" s="579"/>
      <c r="AJ88" s="580" t="s">
        <v>730</v>
      </c>
      <c r="AK88" s="700"/>
      <c r="AL88" s="702">
        <f>AL86+AL87</f>
        <v>17449513.550000001</v>
      </c>
      <c r="AM88" s="579"/>
      <c r="AO88" s="580" t="s">
        <v>730</v>
      </c>
      <c r="AP88" s="700"/>
      <c r="AQ88" s="702">
        <f>AQ86+AQ87</f>
        <v>797986.7</v>
      </c>
      <c r="AR88" s="579"/>
      <c r="AT88" s="580" t="s">
        <v>730</v>
      </c>
      <c r="AU88" s="700"/>
      <c r="AV88" s="702">
        <f>AV86+AV87</f>
        <v>6959790.25</v>
      </c>
      <c r="AW88" s="579"/>
      <c r="AY88" s="580" t="s">
        <v>730</v>
      </c>
      <c r="AZ88" s="700"/>
      <c r="BA88" s="702">
        <f>BA86+BA87</f>
        <v>20517567.050000001</v>
      </c>
      <c r="BB88" s="579"/>
      <c r="BD88" s="580" t="s">
        <v>730</v>
      </c>
      <c r="BE88" s="700"/>
      <c r="BF88" s="702">
        <f>BF86+BF87</f>
        <v>1139981</v>
      </c>
      <c r="BG88" s="579"/>
      <c r="BI88" s="580" t="s">
        <v>730</v>
      </c>
      <c r="BJ88" s="700"/>
      <c r="BK88" s="702">
        <f>BK86+BK87</f>
        <v>8216431.25</v>
      </c>
      <c r="BL88" s="579"/>
      <c r="BN88" s="580" t="s">
        <v>730</v>
      </c>
      <c r="BO88" s="700"/>
      <c r="BP88" s="702">
        <f>BP86+BP87</f>
        <v>25295554.050000001</v>
      </c>
      <c r="BQ88" s="579"/>
      <c r="BS88" s="580" t="s">
        <v>730</v>
      </c>
      <c r="BT88" s="700"/>
      <c r="BU88" s="702">
        <f>BU86+BU87</f>
        <v>1424976.25</v>
      </c>
      <c r="BV88" s="579"/>
    </row>
    <row r="89" spans="1:74">
      <c r="A89" s="580" t="s">
        <v>729</v>
      </c>
      <c r="B89" s="700">
        <f>'BKFC Inputs'!G14</f>
        <v>0.47</v>
      </c>
      <c r="C89" s="701">
        <f>-ROUND(C88*B89,2)</f>
        <v>-1390552.81</v>
      </c>
      <c r="D89" s="584"/>
      <c r="F89" s="580" t="s">
        <v>729</v>
      </c>
      <c r="G89" s="700">
        <f>'BKFC Inputs'!G14</f>
        <v>0.47</v>
      </c>
      <c r="H89" s="701">
        <f>-ROUND(H88*G89,2)</f>
        <v>-4308242.33</v>
      </c>
      <c r="I89" s="584"/>
      <c r="K89" s="580" t="s">
        <v>729</v>
      </c>
      <c r="L89" s="700">
        <f>B89</f>
        <v>0.47</v>
      </c>
      <c r="M89" s="701">
        <f>-ROUND(M88*L89,2)</f>
        <v>-267895.53999999998</v>
      </c>
      <c r="N89" s="584"/>
      <c r="P89" s="580" t="s">
        <v>729</v>
      </c>
      <c r="Q89" s="700">
        <f>L89</f>
        <v>0.47</v>
      </c>
      <c r="R89" s="701">
        <f>-ROUND(R88*Q89,2)</f>
        <v>-1815998.1</v>
      </c>
      <c r="S89" s="584"/>
      <c r="U89" s="580" t="s">
        <v>729</v>
      </c>
      <c r="V89" s="700">
        <f>Q89</f>
        <v>0.47</v>
      </c>
      <c r="W89" s="701">
        <f>-ROUND(W88*V89,2)</f>
        <v>-5915506.1500000004</v>
      </c>
      <c r="X89" s="584"/>
      <c r="Z89" s="580" t="s">
        <v>729</v>
      </c>
      <c r="AA89" s="700">
        <f>V89</f>
        <v>0.47</v>
      </c>
      <c r="AB89" s="701">
        <f>-ROUND(AB88*AA89,2)</f>
        <v>-267895.53999999998</v>
      </c>
      <c r="AC89" s="584"/>
      <c r="AE89" s="580" t="s">
        <v>729</v>
      </c>
      <c r="AF89" s="700">
        <f>AA89</f>
        <v>0.47</v>
      </c>
      <c r="AG89" s="701">
        <f>-ROUND(AG88*AF89,2)</f>
        <v>-2680480.15</v>
      </c>
      <c r="AH89" s="584"/>
      <c r="AJ89" s="580" t="s">
        <v>729</v>
      </c>
      <c r="AK89" s="700">
        <f>AF89</f>
        <v>0.47</v>
      </c>
      <c r="AL89" s="701">
        <f>-ROUND(AL88*AK89,2)</f>
        <v>-8201271.3700000001</v>
      </c>
      <c r="AM89" s="584"/>
      <c r="AO89" s="580" t="s">
        <v>729</v>
      </c>
      <c r="AP89" s="700">
        <f>AK89</f>
        <v>0.47</v>
      </c>
      <c r="AQ89" s="701">
        <f>-ROUND(AQ88*AP89,2)</f>
        <v>-375053.75</v>
      </c>
      <c r="AR89" s="584"/>
      <c r="AT89" s="580" t="s">
        <v>729</v>
      </c>
      <c r="AU89" s="700">
        <f>AP89</f>
        <v>0.47</v>
      </c>
      <c r="AV89" s="701">
        <f>-ROUND(AV88*AU89,2)</f>
        <v>-3271101.42</v>
      </c>
      <c r="AW89" s="584"/>
      <c r="AY89" s="580" t="s">
        <v>729</v>
      </c>
      <c r="AZ89" s="700">
        <f>AU89</f>
        <v>0.47</v>
      </c>
      <c r="BA89" s="701">
        <f>-ROUND(BA88*AZ89,2)</f>
        <v>-9643256.5099999998</v>
      </c>
      <c r="BB89" s="584"/>
      <c r="BD89" s="580" t="s">
        <v>729</v>
      </c>
      <c r="BE89" s="700">
        <f>AZ89</f>
        <v>0.47</v>
      </c>
      <c r="BF89" s="701">
        <f>-ROUND(BF88*BE89,2)</f>
        <v>-535791.06999999995</v>
      </c>
      <c r="BG89" s="584"/>
      <c r="BI89" s="580" t="s">
        <v>729</v>
      </c>
      <c r="BJ89" s="700">
        <f>BE89</f>
        <v>0.47</v>
      </c>
      <c r="BK89" s="701">
        <f>-ROUND(BK88*BJ89,2)</f>
        <v>-3861722.69</v>
      </c>
      <c r="BL89" s="584"/>
      <c r="BN89" s="580" t="s">
        <v>729</v>
      </c>
      <c r="BO89" s="700">
        <f>BJ89</f>
        <v>0.47</v>
      </c>
      <c r="BP89" s="701">
        <f>-ROUND(BP88*BO89,2)</f>
        <v>-11888910.4</v>
      </c>
      <c r="BQ89" s="584"/>
      <c r="BS89" s="580" t="s">
        <v>729</v>
      </c>
      <c r="BT89" s="700">
        <f>BO89</f>
        <v>0.47</v>
      </c>
      <c r="BU89" s="701">
        <f>-ROUND(BU88*BT89,2)</f>
        <v>-669738.84</v>
      </c>
      <c r="BV89" s="584"/>
    </row>
    <row r="90" spans="1:74" ht="16" thickBot="1">
      <c r="A90" s="580" t="s">
        <v>5</v>
      </c>
      <c r="B90" s="585"/>
      <c r="C90" s="703">
        <f>SUM(C88:C89)</f>
        <v>1568070.19</v>
      </c>
      <c r="D90" s="579"/>
      <c r="F90" s="580" t="s">
        <v>5</v>
      </c>
      <c r="G90" s="585"/>
      <c r="H90" s="703">
        <f>SUM(H88:H89)</f>
        <v>4858230.7200000007</v>
      </c>
      <c r="I90" s="579"/>
      <c r="K90" s="580" t="s">
        <v>5</v>
      </c>
      <c r="L90" s="585"/>
      <c r="M90" s="703">
        <f>SUM(M88:M89)</f>
        <v>302094.96000000002</v>
      </c>
      <c r="N90" s="579"/>
      <c r="P90" s="580" t="s">
        <v>5</v>
      </c>
      <c r="Q90" s="585"/>
      <c r="R90" s="703">
        <f>SUM(R88:R89)</f>
        <v>2047827.65</v>
      </c>
      <c r="S90" s="579"/>
      <c r="U90" s="580" t="s">
        <v>5</v>
      </c>
      <c r="V90" s="585"/>
      <c r="W90" s="703">
        <f>SUM(W88:W89)</f>
        <v>6670677.1500000004</v>
      </c>
      <c r="X90" s="579"/>
      <c r="Z90" s="580" t="s">
        <v>5</v>
      </c>
      <c r="AA90" s="585"/>
      <c r="AB90" s="703">
        <f>SUM(AB88:AB89)</f>
        <v>302094.96000000002</v>
      </c>
      <c r="AC90" s="579"/>
      <c r="AE90" s="580" t="s">
        <v>5</v>
      </c>
      <c r="AF90" s="585"/>
      <c r="AG90" s="703">
        <f>SUM(AG88:AG89)</f>
        <v>3022669.1</v>
      </c>
      <c r="AH90" s="579"/>
      <c r="AJ90" s="580" t="s">
        <v>5</v>
      </c>
      <c r="AK90" s="585"/>
      <c r="AL90" s="703">
        <f>SUM(AL88:AL89)</f>
        <v>9248242.1799999997</v>
      </c>
      <c r="AM90" s="579"/>
      <c r="AO90" s="580" t="s">
        <v>5</v>
      </c>
      <c r="AP90" s="585"/>
      <c r="AQ90" s="703">
        <f>SUM(AQ88:AQ89)</f>
        <v>422932.94999999995</v>
      </c>
      <c r="AR90" s="579"/>
      <c r="AT90" s="580" t="s">
        <v>5</v>
      </c>
      <c r="AU90" s="585"/>
      <c r="AV90" s="703">
        <f>SUM(AV88:AV89)</f>
        <v>3688688.83</v>
      </c>
      <c r="AW90" s="579"/>
      <c r="AY90" s="580" t="s">
        <v>5</v>
      </c>
      <c r="AZ90" s="585"/>
      <c r="BA90" s="703">
        <f>SUM(BA88:BA89)</f>
        <v>10874310.540000001</v>
      </c>
      <c r="BB90" s="579"/>
      <c r="BD90" s="580" t="s">
        <v>5</v>
      </c>
      <c r="BE90" s="585"/>
      <c r="BF90" s="703">
        <f>SUM(BF88:BF89)</f>
        <v>604189.93000000005</v>
      </c>
      <c r="BG90" s="579"/>
      <c r="BI90" s="580" t="s">
        <v>5</v>
      </c>
      <c r="BJ90" s="585"/>
      <c r="BK90" s="703">
        <f>SUM(BK88:BK89)</f>
        <v>4354708.5600000005</v>
      </c>
      <c r="BL90" s="579"/>
      <c r="BN90" s="580" t="s">
        <v>5</v>
      </c>
      <c r="BO90" s="585"/>
      <c r="BP90" s="703">
        <f>SUM(BP88:BP89)</f>
        <v>13406643.65</v>
      </c>
      <c r="BQ90" s="579"/>
      <c r="BS90" s="580" t="s">
        <v>5</v>
      </c>
      <c r="BT90" s="585"/>
      <c r="BU90" s="703">
        <f>SUM(BU88:BU89)</f>
        <v>755237.41</v>
      </c>
      <c r="BV90" s="579"/>
    </row>
    <row r="91" spans="1:74" ht="17" thickTop="1" thickBot="1">
      <c r="A91" s="587"/>
      <c r="B91" s="588"/>
      <c r="C91" s="588"/>
      <c r="D91" s="589"/>
      <c r="F91" s="587"/>
      <c r="G91" s="588"/>
      <c r="H91" s="588"/>
      <c r="I91" s="589"/>
      <c r="K91" s="587"/>
      <c r="L91" s="588"/>
      <c r="M91" s="588"/>
      <c r="N91" s="589"/>
      <c r="P91" s="587"/>
      <c r="Q91" s="588"/>
      <c r="R91" s="588"/>
      <c r="S91" s="589"/>
      <c r="U91" s="587"/>
      <c r="V91" s="588"/>
      <c r="W91" s="588"/>
      <c r="X91" s="589"/>
      <c r="Z91" s="587"/>
      <c r="AA91" s="588"/>
      <c r="AB91" s="588"/>
      <c r="AC91" s="589"/>
      <c r="AE91" s="587"/>
      <c r="AF91" s="588"/>
      <c r="AG91" s="588"/>
      <c r="AH91" s="589"/>
      <c r="AJ91" s="587"/>
      <c r="AK91" s="588"/>
      <c r="AL91" s="588"/>
      <c r="AM91" s="589"/>
      <c r="AO91" s="587"/>
      <c r="AP91" s="588"/>
      <c r="AQ91" s="588"/>
      <c r="AR91" s="589"/>
      <c r="AT91" s="587"/>
      <c r="AU91" s="588"/>
      <c r="AV91" s="588"/>
      <c r="AW91" s="589"/>
      <c r="AY91" s="587"/>
      <c r="AZ91" s="588"/>
      <c r="BA91" s="588"/>
      <c r="BB91" s="589"/>
      <c r="BD91" s="587"/>
      <c r="BE91" s="588"/>
      <c r="BF91" s="588"/>
      <c r="BG91" s="589"/>
      <c r="BI91" s="587"/>
      <c r="BJ91" s="588"/>
      <c r="BK91" s="588"/>
      <c r="BL91" s="589"/>
      <c r="BN91" s="587"/>
      <c r="BO91" s="588"/>
      <c r="BP91" s="588"/>
      <c r="BQ91" s="589"/>
      <c r="BS91" s="587"/>
      <c r="BT91" s="588"/>
      <c r="BU91" s="588"/>
      <c r="BV91" s="589"/>
    </row>
    <row r="92" spans="1:74">
      <c r="A92" s="543"/>
      <c r="B92" s="556"/>
      <c r="C92" s="556"/>
      <c r="D92" s="543"/>
      <c r="F92" s="543"/>
      <c r="G92" s="556"/>
      <c r="H92" s="556"/>
      <c r="I92" s="543"/>
      <c r="K92" s="543"/>
      <c r="L92" s="556"/>
      <c r="M92" s="556"/>
      <c r="N92" s="543"/>
      <c r="P92" s="543"/>
      <c r="Q92" s="556"/>
      <c r="R92" s="556"/>
      <c r="S92" s="543"/>
      <c r="U92" s="543"/>
      <c r="V92" s="556"/>
      <c r="W92" s="556"/>
      <c r="X92" s="543"/>
      <c r="Z92" s="543"/>
      <c r="AA92" s="556"/>
      <c r="AB92" s="556"/>
      <c r="AC92" s="543"/>
      <c r="AE92" s="543"/>
      <c r="AF92" s="556"/>
      <c r="AG92" s="556"/>
      <c r="AH92" s="543"/>
      <c r="AJ92" s="543"/>
      <c r="AK92" s="556"/>
      <c r="AL92" s="556"/>
      <c r="AM92" s="543"/>
      <c r="AO92" s="543"/>
      <c r="AP92" s="556"/>
      <c r="AQ92" s="556"/>
      <c r="AR92" s="543"/>
    </row>
    <row r="93" spans="1:74">
      <c r="P93" s="677"/>
      <c r="Q93" s="677"/>
      <c r="S93" s="677"/>
    </row>
    <row r="94" spans="1:74" ht="16" thickBot="1">
      <c r="I94" s="677"/>
      <c r="J94" s="677"/>
      <c r="K94" s="677" t="s">
        <v>918</v>
      </c>
      <c r="L94" s="677"/>
      <c r="M94" s="677"/>
      <c r="N94" s="677"/>
      <c r="O94" s="677"/>
      <c r="P94" s="677"/>
      <c r="Q94" s="677"/>
      <c r="R94" s="677"/>
      <c r="S94" s="677"/>
    </row>
    <row r="95" spans="1:74" ht="13.5" customHeight="1">
      <c r="A95" s="704"/>
      <c r="B95" s="704"/>
      <c r="C95" s="705">
        <v>46023</v>
      </c>
      <c r="D95" s="705">
        <v>46054</v>
      </c>
      <c r="E95" s="705">
        <v>46082</v>
      </c>
      <c r="F95" s="705">
        <v>46113</v>
      </c>
      <c r="G95" s="705">
        <v>46143</v>
      </c>
      <c r="H95" s="705">
        <v>46174</v>
      </c>
      <c r="I95" s="705">
        <v>46204</v>
      </c>
      <c r="J95" s="705">
        <v>46235</v>
      </c>
      <c r="K95" s="705">
        <v>46266</v>
      </c>
      <c r="L95" s="705">
        <v>46296</v>
      </c>
      <c r="M95" s="705">
        <v>46327</v>
      </c>
      <c r="N95" s="705">
        <v>46357</v>
      </c>
      <c r="O95" s="704">
        <v>2026</v>
      </c>
      <c r="P95" s="705">
        <v>46388</v>
      </c>
      <c r="Q95" s="705">
        <v>46419</v>
      </c>
      <c r="R95" s="705">
        <v>46447</v>
      </c>
      <c r="S95" s="705">
        <v>46478</v>
      </c>
      <c r="T95" s="705">
        <v>46508</v>
      </c>
      <c r="U95" s="705">
        <v>46539</v>
      </c>
      <c r="V95" s="705">
        <v>46569</v>
      </c>
      <c r="W95" s="705">
        <v>46600</v>
      </c>
      <c r="X95" s="705">
        <v>46631</v>
      </c>
      <c r="Y95" s="705">
        <v>46661</v>
      </c>
      <c r="Z95" s="705">
        <v>46692</v>
      </c>
      <c r="AA95" s="705">
        <v>46722</v>
      </c>
      <c r="AB95" s="704">
        <v>2027</v>
      </c>
      <c r="AC95" s="705">
        <v>46753</v>
      </c>
      <c r="AD95" s="705">
        <v>46784</v>
      </c>
      <c r="AE95" s="705">
        <v>46813</v>
      </c>
      <c r="AF95" s="705">
        <v>46844</v>
      </c>
      <c r="AG95" s="705">
        <v>46874</v>
      </c>
      <c r="AH95" s="705">
        <v>46905</v>
      </c>
      <c r="AI95" s="705">
        <v>46935</v>
      </c>
      <c r="AJ95" s="705">
        <v>46966</v>
      </c>
      <c r="AK95" s="705">
        <v>46997</v>
      </c>
      <c r="AL95" s="705">
        <v>47027</v>
      </c>
      <c r="AM95" s="705">
        <v>47058</v>
      </c>
      <c r="AN95" s="705">
        <v>47088</v>
      </c>
      <c r="AO95" s="704">
        <v>2028</v>
      </c>
      <c r="AP95" s="705">
        <v>47119</v>
      </c>
      <c r="AQ95" s="705">
        <v>47150</v>
      </c>
      <c r="AR95" s="705">
        <v>47178</v>
      </c>
      <c r="AS95" s="705">
        <v>47209</v>
      </c>
      <c r="AT95" s="705">
        <v>47239</v>
      </c>
      <c r="AU95" s="705">
        <v>47270</v>
      </c>
      <c r="AV95" s="705">
        <v>47300</v>
      </c>
      <c r="AW95" s="705">
        <v>47331</v>
      </c>
      <c r="AX95" s="705">
        <v>47362</v>
      </c>
      <c r="AY95" s="705">
        <v>47392</v>
      </c>
      <c r="AZ95" s="705">
        <v>47423</v>
      </c>
      <c r="BA95" s="705">
        <v>47453</v>
      </c>
      <c r="BB95" s="706">
        <v>2029</v>
      </c>
      <c r="BC95" s="705">
        <v>47484</v>
      </c>
      <c r="BD95" s="705">
        <v>47515</v>
      </c>
      <c r="BE95" s="705">
        <v>47543</v>
      </c>
      <c r="BF95" s="705">
        <v>47574</v>
      </c>
      <c r="BG95" s="705">
        <v>47604</v>
      </c>
      <c r="BH95" s="705">
        <v>47635</v>
      </c>
      <c r="BI95" s="705">
        <v>47665</v>
      </c>
      <c r="BJ95" s="705">
        <v>47696</v>
      </c>
      <c r="BK95" s="705">
        <v>47727</v>
      </c>
      <c r="BL95" s="705">
        <v>47757</v>
      </c>
      <c r="BM95" s="705">
        <v>47788</v>
      </c>
      <c r="BN95" s="705">
        <v>47818</v>
      </c>
      <c r="BO95" s="706">
        <v>2030</v>
      </c>
      <c r="BP95" s="707"/>
    </row>
    <row r="96" spans="1:74" ht="13.5" customHeight="1">
      <c r="A96" s="708"/>
      <c r="B96" s="708"/>
      <c r="C96" s="709" t="s">
        <v>49</v>
      </c>
      <c r="D96" s="709" t="s">
        <v>50</v>
      </c>
      <c r="E96" s="709" t="s">
        <v>51</v>
      </c>
      <c r="F96" s="709" t="s">
        <v>52</v>
      </c>
      <c r="G96" s="709" t="s">
        <v>53</v>
      </c>
      <c r="H96" s="709" t="s">
        <v>54</v>
      </c>
      <c r="I96" s="709" t="s">
        <v>55</v>
      </c>
      <c r="J96" s="709" t="s">
        <v>56</v>
      </c>
      <c r="K96" s="709" t="s">
        <v>57</v>
      </c>
      <c r="L96" s="709" t="s">
        <v>58</v>
      </c>
      <c r="M96" s="709" t="s">
        <v>59</v>
      </c>
      <c r="N96" s="709" t="s">
        <v>60</v>
      </c>
      <c r="O96" s="710" t="s">
        <v>65</v>
      </c>
      <c r="P96" s="709" t="s">
        <v>291</v>
      </c>
      <c r="Q96" s="709" t="s">
        <v>308</v>
      </c>
      <c r="R96" s="709" t="s">
        <v>309</v>
      </c>
      <c r="S96" s="709" t="s">
        <v>310</v>
      </c>
      <c r="T96" s="709" t="s">
        <v>311</v>
      </c>
      <c r="U96" s="709" t="s">
        <v>312</v>
      </c>
      <c r="V96" s="709" t="s">
        <v>313</v>
      </c>
      <c r="W96" s="709" t="s">
        <v>314</v>
      </c>
      <c r="X96" s="709" t="s">
        <v>315</v>
      </c>
      <c r="Y96" s="709" t="s">
        <v>316</v>
      </c>
      <c r="Z96" s="709" t="s">
        <v>317</v>
      </c>
      <c r="AA96" s="709" t="s">
        <v>318</v>
      </c>
      <c r="AB96" s="711" t="s">
        <v>121</v>
      </c>
      <c r="AC96" s="709" t="s">
        <v>319</v>
      </c>
      <c r="AD96" s="709" t="s">
        <v>320</v>
      </c>
      <c r="AE96" s="709" t="s">
        <v>321</v>
      </c>
      <c r="AF96" s="709" t="s">
        <v>322</v>
      </c>
      <c r="AG96" s="709" t="s">
        <v>323</v>
      </c>
      <c r="AH96" s="709" t="s">
        <v>324</v>
      </c>
      <c r="AI96" s="709" t="s">
        <v>325</v>
      </c>
      <c r="AJ96" s="709" t="s">
        <v>326</v>
      </c>
      <c r="AK96" s="709" t="s">
        <v>327</v>
      </c>
      <c r="AL96" s="709" t="s">
        <v>328</v>
      </c>
      <c r="AM96" s="709" t="s">
        <v>329</v>
      </c>
      <c r="AN96" s="709" t="s">
        <v>330</v>
      </c>
      <c r="AO96" s="711" t="s">
        <v>122</v>
      </c>
      <c r="AP96" s="712" t="s">
        <v>331</v>
      </c>
      <c r="AQ96" s="712" t="s">
        <v>332</v>
      </c>
      <c r="AR96" s="712" t="s">
        <v>333</v>
      </c>
      <c r="AS96" s="712" t="s">
        <v>334</v>
      </c>
      <c r="AT96" s="712" t="s">
        <v>335</v>
      </c>
      <c r="AU96" s="712" t="s">
        <v>336</v>
      </c>
      <c r="AV96" s="712" t="s">
        <v>337</v>
      </c>
      <c r="AW96" s="712" t="s">
        <v>338</v>
      </c>
      <c r="AX96" s="712" t="s">
        <v>339</v>
      </c>
      <c r="AY96" s="712" t="s">
        <v>340</v>
      </c>
      <c r="AZ96" s="712" t="s">
        <v>341</v>
      </c>
      <c r="BA96" s="712" t="s">
        <v>342</v>
      </c>
      <c r="BB96" s="711" t="s">
        <v>123</v>
      </c>
      <c r="BC96" s="712" t="s">
        <v>343</v>
      </c>
      <c r="BD96" s="712" t="s">
        <v>344</v>
      </c>
      <c r="BE96" s="712" t="s">
        <v>345</v>
      </c>
      <c r="BF96" s="712" t="s">
        <v>346</v>
      </c>
      <c r="BG96" s="712" t="s">
        <v>347</v>
      </c>
      <c r="BH96" s="712" t="s">
        <v>348</v>
      </c>
      <c r="BI96" s="712" t="s">
        <v>349</v>
      </c>
      <c r="BJ96" s="712" t="s">
        <v>350</v>
      </c>
      <c r="BK96" s="712" t="s">
        <v>351</v>
      </c>
      <c r="BL96" s="712" t="s">
        <v>352</v>
      </c>
      <c r="BM96" s="712" t="s">
        <v>353</v>
      </c>
      <c r="BN96" s="712" t="s">
        <v>354</v>
      </c>
      <c r="BO96" s="711" t="s">
        <v>124</v>
      </c>
      <c r="BP96" s="713" t="s">
        <v>125</v>
      </c>
    </row>
    <row r="97" spans="1:68" ht="13.5" customHeight="1">
      <c r="A97" s="714" t="s">
        <v>20</v>
      </c>
      <c r="B97" s="714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6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6"/>
      <c r="AC97" s="715"/>
      <c r="AD97" s="715"/>
      <c r="AE97" s="715"/>
      <c r="AF97" s="715"/>
      <c r="AG97" s="715"/>
      <c r="AH97" s="715"/>
      <c r="AI97" s="715"/>
      <c r="AJ97" s="715"/>
      <c r="AK97" s="715"/>
      <c r="AL97" s="715"/>
      <c r="AM97" s="715"/>
      <c r="AN97" s="715"/>
      <c r="AO97" s="716"/>
      <c r="AP97" s="717"/>
      <c r="AQ97" s="717"/>
      <c r="AR97" s="717"/>
      <c r="AS97" s="717"/>
      <c r="AT97" s="717"/>
      <c r="AU97" s="717"/>
      <c r="AV97" s="717"/>
      <c r="AW97" s="717"/>
      <c r="AX97" s="717"/>
      <c r="AY97" s="717"/>
      <c r="AZ97" s="717"/>
      <c r="BA97" s="717"/>
      <c r="BB97" s="718"/>
      <c r="BC97" s="717"/>
      <c r="BD97" s="717"/>
      <c r="BE97" s="717"/>
      <c r="BF97" s="717"/>
      <c r="BG97" s="717"/>
      <c r="BH97" s="717"/>
      <c r="BI97" s="717"/>
      <c r="BJ97" s="717"/>
      <c r="BK97" s="717"/>
      <c r="BL97" s="717"/>
      <c r="BM97" s="717"/>
      <c r="BN97" s="717"/>
      <c r="BO97" s="718"/>
      <c r="BP97" s="719"/>
    </row>
    <row r="98" spans="1:68" ht="13.5" customHeight="1" thickBot="1">
      <c r="A98" s="720" t="s">
        <v>871</v>
      </c>
      <c r="B98" s="721"/>
      <c r="C98" s="722">
        <v>0</v>
      </c>
      <c r="D98" s="722">
        <v>0</v>
      </c>
      <c r="E98" s="723">
        <v>0</v>
      </c>
      <c r="F98" s="722">
        <v>0</v>
      </c>
      <c r="G98" s="722">
        <v>0</v>
      </c>
      <c r="H98" s="722">
        <v>0</v>
      </c>
      <c r="I98" s="722">
        <v>0</v>
      </c>
      <c r="J98" s="722">
        <v>0</v>
      </c>
      <c r="K98" s="722">
        <v>0</v>
      </c>
      <c r="L98" s="976">
        <v>0</v>
      </c>
      <c r="M98" s="1041">
        <v>0</v>
      </c>
      <c r="N98" s="1041">
        <f>$C$88*0.5</f>
        <v>1479311.5</v>
      </c>
      <c r="O98" s="724">
        <f t="shared" ref="O98:O102" si="0">SUM(C98:N98)</f>
        <v>1479311.5</v>
      </c>
      <c r="P98" s="722">
        <f>$C$88*0.5</f>
        <v>1479311.5</v>
      </c>
      <c r="Q98" s="723">
        <f>$H$88*0.5</f>
        <v>4583236.5250000004</v>
      </c>
      <c r="R98" s="722">
        <f>$H$88*0.5</f>
        <v>4583236.5250000004</v>
      </c>
      <c r="S98" s="722">
        <f>$M$88*0.5</f>
        <v>284995.25</v>
      </c>
      <c r="T98" s="722">
        <f>$M$88*0.5</f>
        <v>284995.25</v>
      </c>
      <c r="U98" s="722">
        <v>0</v>
      </c>
      <c r="V98" s="722">
        <f>$R$88*0.5</f>
        <v>1931912.875</v>
      </c>
      <c r="W98" s="722">
        <f>$R$88*0.5</f>
        <v>1931912.875</v>
      </c>
      <c r="X98" s="723">
        <v>0</v>
      </c>
      <c r="Y98" s="722">
        <f>$W$88*0.5</f>
        <v>6293091.6500000004</v>
      </c>
      <c r="Z98" s="722">
        <f>$W$88*0.5</f>
        <v>6293091.6500000004</v>
      </c>
      <c r="AA98" s="722">
        <v>0</v>
      </c>
      <c r="AB98" s="724">
        <f t="shared" ref="AB98:AB102" si="1">SUM(P98:AA98)</f>
        <v>27665784.100000001</v>
      </c>
      <c r="AC98" s="722">
        <f>$AB$88*0.5</f>
        <v>284995.25</v>
      </c>
      <c r="AD98" s="722">
        <f>$AB$88*0.5</f>
        <v>284995.25</v>
      </c>
      <c r="AE98" s="723">
        <v>0</v>
      </c>
      <c r="AF98" s="722">
        <v>0</v>
      </c>
      <c r="AG98" s="722">
        <v>0</v>
      </c>
      <c r="AH98" s="722">
        <v>0</v>
      </c>
      <c r="AI98" s="722">
        <f>AG88</f>
        <v>5703149.25</v>
      </c>
      <c r="AJ98" s="722">
        <v>0</v>
      </c>
      <c r="AK98" s="722">
        <v>0</v>
      </c>
      <c r="AL98" s="722">
        <f>AL88</f>
        <v>17449513.550000001</v>
      </c>
      <c r="AM98" s="722">
        <v>0</v>
      </c>
      <c r="AN98" s="722">
        <v>0</v>
      </c>
      <c r="AO98" s="724">
        <f>SUM(AC98:AN98)</f>
        <v>23722653.300000001</v>
      </c>
      <c r="AP98" s="722">
        <f>AQ88</f>
        <v>797986.7</v>
      </c>
      <c r="AQ98" s="722">
        <v>0</v>
      </c>
      <c r="AR98" s="722">
        <v>0</v>
      </c>
      <c r="AS98" s="722">
        <v>0</v>
      </c>
      <c r="AT98" s="722">
        <v>0</v>
      </c>
      <c r="AU98" s="722">
        <v>0</v>
      </c>
      <c r="AV98" s="722">
        <f>AV88</f>
        <v>6959790.25</v>
      </c>
      <c r="AW98" s="722">
        <v>0</v>
      </c>
      <c r="AX98" s="722">
        <v>0</v>
      </c>
      <c r="AY98" s="722">
        <f>BA88</f>
        <v>20517567.050000001</v>
      </c>
      <c r="AZ98" s="725">
        <v>0</v>
      </c>
      <c r="BA98" s="722">
        <v>0</v>
      </c>
      <c r="BB98" s="724">
        <f t="shared" ref="BB98:BB102" si="2">SUM(AP98:BA98)</f>
        <v>28275344</v>
      </c>
      <c r="BC98" s="722">
        <f>BF88</f>
        <v>1139981</v>
      </c>
      <c r="BD98" s="722">
        <v>0</v>
      </c>
      <c r="BE98" s="722">
        <v>0</v>
      </c>
      <c r="BF98" s="722">
        <v>0</v>
      </c>
      <c r="BG98" s="722">
        <v>0</v>
      </c>
      <c r="BH98" s="722">
        <v>0</v>
      </c>
      <c r="BI98" s="722">
        <f>BK88</f>
        <v>8216431.25</v>
      </c>
      <c r="BJ98" s="722">
        <v>0</v>
      </c>
      <c r="BK98" s="722">
        <v>0</v>
      </c>
      <c r="BL98" s="722">
        <f>BP88</f>
        <v>25295554.050000001</v>
      </c>
      <c r="BM98" s="725">
        <v>0</v>
      </c>
      <c r="BN98" s="722">
        <f>BU88</f>
        <v>1424976.25</v>
      </c>
      <c r="BO98" s="724">
        <f t="shared" ref="BO98:BO102" si="3">SUM(BC98:BN98)</f>
        <v>36076942.549999997</v>
      </c>
      <c r="BP98" s="726">
        <f>O98+AB98+AO98+BB98+BO98</f>
        <v>117220035.45</v>
      </c>
    </row>
    <row r="99" spans="1:68" ht="13.5" customHeight="1" thickBot="1">
      <c r="A99" s="720" t="s">
        <v>72</v>
      </c>
      <c r="B99" s="721"/>
      <c r="C99" s="722"/>
      <c r="D99" s="722"/>
      <c r="E99" s="723">
        <v>0</v>
      </c>
      <c r="F99" s="722">
        <v>0</v>
      </c>
      <c r="G99" s="722">
        <v>0</v>
      </c>
      <c r="H99" s="722">
        <v>0</v>
      </c>
      <c r="I99" s="722">
        <v>0</v>
      </c>
      <c r="J99" s="722">
        <v>0</v>
      </c>
      <c r="K99" s="722">
        <v>0</v>
      </c>
      <c r="L99" s="722">
        <v>0</v>
      </c>
      <c r="M99" s="722">
        <f>-$C$89*0.3</f>
        <v>417165.84299999999</v>
      </c>
      <c r="N99" s="722">
        <v>0</v>
      </c>
      <c r="O99" s="724">
        <f t="shared" si="0"/>
        <v>417165.84299999999</v>
      </c>
      <c r="P99" s="722">
        <f>-$H$89*0.3</f>
        <v>1292472.699</v>
      </c>
      <c r="Q99" s="722">
        <f>(-$C$89*0.7)</f>
        <v>973386.96699999995</v>
      </c>
      <c r="R99" s="722">
        <f>-$M$89*0.3</f>
        <v>80368.661999999997</v>
      </c>
      <c r="S99" s="722">
        <f>-$H$89*0.7</f>
        <v>3015769.6310000001</v>
      </c>
      <c r="T99" s="722">
        <f>-$M$89*0.7</f>
        <v>187526.87799999997</v>
      </c>
      <c r="U99" s="722">
        <f>-$R$89*0.3</f>
        <v>544799.43000000005</v>
      </c>
      <c r="V99" s="722">
        <v>0</v>
      </c>
      <c r="W99" s="722">
        <f>-$R$89*0.7</f>
        <v>1271198.67</v>
      </c>
      <c r="X99" s="723">
        <f>-$W$89*0.3</f>
        <v>1774651.845</v>
      </c>
      <c r="Y99" s="722">
        <v>0</v>
      </c>
      <c r="Z99" s="723">
        <f>-$W$89*0.7</f>
        <v>4140854.3050000002</v>
      </c>
      <c r="AA99" s="722">
        <f>-$AB$89*0.3</f>
        <v>80368.661999999997</v>
      </c>
      <c r="AB99" s="724">
        <f t="shared" si="1"/>
        <v>13361397.749</v>
      </c>
      <c r="AC99" s="722">
        <f>-AB89</f>
        <v>267895.53999999998</v>
      </c>
      <c r="AD99" s="722">
        <f>-$AB$89*0.7</f>
        <v>187526.87799999997</v>
      </c>
      <c r="AE99" s="723">
        <v>0</v>
      </c>
      <c r="AF99" s="722">
        <v>0</v>
      </c>
      <c r="AG99" s="722">
        <f>-$AG$89*0.3</f>
        <v>804144.04499999993</v>
      </c>
      <c r="AH99" s="722">
        <v>0</v>
      </c>
      <c r="AI99" s="722">
        <f>-$AG$89*0.7</f>
        <v>1876336.1049999997</v>
      </c>
      <c r="AJ99" s="722">
        <f>-$AL$89*0.3</f>
        <v>2460381.4109999998</v>
      </c>
      <c r="AK99" s="722"/>
      <c r="AL99" s="722">
        <f>-$AL$89*0.7</f>
        <v>5740889.9589999998</v>
      </c>
      <c r="AM99" s="722">
        <f>-$AQ$89*0.3</f>
        <v>112516.125</v>
      </c>
      <c r="AN99" s="722"/>
      <c r="AO99" s="724">
        <f>SUM(AC99:AN99)</f>
        <v>11449690.063000001</v>
      </c>
      <c r="AP99" s="722">
        <f>-$AQ$89*0.7</f>
        <v>262537.625</v>
      </c>
      <c r="AQ99" s="722">
        <v>0</v>
      </c>
      <c r="AR99" s="722"/>
      <c r="AS99" s="722"/>
      <c r="AT99" s="722">
        <f>-$AV$89*0.3</f>
        <v>981330.42599999998</v>
      </c>
      <c r="AU99" s="722"/>
      <c r="AV99" s="722">
        <f>-$AV$89*0.7</f>
        <v>2289770.9939999999</v>
      </c>
      <c r="AW99" s="722">
        <f>-$BA$89*0.3</f>
        <v>2892976.9529999997</v>
      </c>
      <c r="AX99" s="722"/>
      <c r="AY99" s="722">
        <f>-$BA$89*0.7</f>
        <v>6750279.5569999991</v>
      </c>
      <c r="AZ99" s="722">
        <f>-$BF$89*0.3</f>
        <v>160737.32099999997</v>
      </c>
      <c r="BA99" s="722"/>
      <c r="BB99" s="724">
        <f t="shared" si="2"/>
        <v>13337632.876</v>
      </c>
      <c r="BC99" s="722">
        <f>-$BF$89*0.7</f>
        <v>375053.74899999995</v>
      </c>
      <c r="BD99" s="722"/>
      <c r="BE99" s="722"/>
      <c r="BF99" s="722"/>
      <c r="BG99" s="722">
        <f>-$BK$89*0.3</f>
        <v>1158516.807</v>
      </c>
      <c r="BH99" s="722"/>
      <c r="BI99" s="722">
        <f>-$BK$89*0.7</f>
        <v>2703205.8829999999</v>
      </c>
      <c r="BJ99" s="722">
        <f>-$BP$89*0.3</f>
        <v>3566673.12</v>
      </c>
      <c r="BK99" s="722"/>
      <c r="BL99" s="722">
        <f>-$BP$89*0.7</f>
        <v>8322237.2799999993</v>
      </c>
      <c r="BM99" s="722">
        <f>-$BU$89*0.3</f>
        <v>200921.65199999997</v>
      </c>
      <c r="BN99" s="722">
        <f>-$BU$89*0.7</f>
        <v>468817.18799999997</v>
      </c>
      <c r="BO99" s="724">
        <f t="shared" si="3"/>
        <v>16795425.678999998</v>
      </c>
      <c r="BP99" s="726">
        <f>O99+AB99+AO99+BB99+BO99</f>
        <v>55361312.210000001</v>
      </c>
    </row>
    <row r="100" spans="1:68" ht="13.5" customHeight="1" thickBot="1">
      <c r="A100" s="720" t="s">
        <v>73</v>
      </c>
      <c r="B100" s="727">
        <f>'BKFC Inputs'!G13</f>
        <v>0.01</v>
      </c>
      <c r="C100" s="722">
        <f>C98*$B$100</f>
        <v>0</v>
      </c>
      <c r="D100" s="722">
        <f t="shared" ref="D100:H100" si="4">D98*$B$100</f>
        <v>0</v>
      </c>
      <c r="E100" s="722">
        <f t="shared" si="4"/>
        <v>0</v>
      </c>
      <c r="F100" s="722">
        <f t="shared" si="4"/>
        <v>0</v>
      </c>
      <c r="G100" s="722">
        <f t="shared" si="4"/>
        <v>0</v>
      </c>
      <c r="H100" s="722">
        <f t="shared" si="4"/>
        <v>0</v>
      </c>
      <c r="I100" s="722">
        <f t="shared" ref="I100:J100" si="5">I98*$B$100</f>
        <v>0</v>
      </c>
      <c r="J100" s="722">
        <f t="shared" si="5"/>
        <v>0</v>
      </c>
      <c r="K100" s="722">
        <f t="shared" ref="K100" si="6">K98*$B$100</f>
        <v>0</v>
      </c>
      <c r="L100" s="722">
        <f>L98*$B$100</f>
        <v>0</v>
      </c>
      <c r="M100" s="722">
        <v>0</v>
      </c>
      <c r="N100" s="722">
        <f>$C$88*$B$100</f>
        <v>29586.23</v>
      </c>
      <c r="O100" s="724">
        <f t="shared" si="0"/>
        <v>29586.23</v>
      </c>
      <c r="P100" s="722">
        <v>0</v>
      </c>
      <c r="Q100" s="722">
        <f>$H$88*$B$100</f>
        <v>91664.730500000005</v>
      </c>
      <c r="R100" s="722">
        <v>0</v>
      </c>
      <c r="S100" s="722">
        <f>$M$88*$B$100</f>
        <v>5699.9049999999997</v>
      </c>
      <c r="T100" s="722">
        <v>0</v>
      </c>
      <c r="U100" s="722">
        <f t="shared" ref="U100:AA100" si="7">U98*$B$100</f>
        <v>0</v>
      </c>
      <c r="V100" s="722">
        <f>$R$88*$B$100</f>
        <v>38638.2575</v>
      </c>
      <c r="W100" s="722">
        <v>0</v>
      </c>
      <c r="X100" s="722">
        <f t="shared" si="7"/>
        <v>0</v>
      </c>
      <c r="Y100" s="722">
        <f>$W$88*$B$100</f>
        <v>125861.83300000001</v>
      </c>
      <c r="Z100" s="722">
        <v>0</v>
      </c>
      <c r="AA100" s="722">
        <f t="shared" si="7"/>
        <v>0</v>
      </c>
      <c r="AB100" s="724">
        <f t="shared" si="1"/>
        <v>261864.72600000002</v>
      </c>
      <c r="AC100" s="722">
        <f>$AB$88*$B$100</f>
        <v>5699.9049999999997</v>
      </c>
      <c r="AD100" s="722">
        <v>0</v>
      </c>
      <c r="AE100" s="722">
        <f t="shared" ref="AE100:AN100" si="8">AE98*$B$100</f>
        <v>0</v>
      </c>
      <c r="AF100" s="722">
        <f t="shared" si="8"/>
        <v>0</v>
      </c>
      <c r="AG100" s="722">
        <f t="shared" si="8"/>
        <v>0</v>
      </c>
      <c r="AH100" s="722">
        <f t="shared" si="8"/>
        <v>0</v>
      </c>
      <c r="AI100" s="722">
        <f t="shared" si="8"/>
        <v>57031.4925</v>
      </c>
      <c r="AJ100" s="722">
        <f t="shared" si="8"/>
        <v>0</v>
      </c>
      <c r="AK100" s="722">
        <f t="shared" si="8"/>
        <v>0</v>
      </c>
      <c r="AL100" s="722">
        <f t="shared" si="8"/>
        <v>174495.1355</v>
      </c>
      <c r="AM100" s="722">
        <f t="shared" si="8"/>
        <v>0</v>
      </c>
      <c r="AN100" s="722">
        <f t="shared" si="8"/>
        <v>0</v>
      </c>
      <c r="AO100" s="724">
        <f>SUM(AC100:AN100)</f>
        <v>237226.533</v>
      </c>
      <c r="AP100" s="722">
        <f>AP98*$B$100</f>
        <v>7979.8669999999993</v>
      </c>
      <c r="AQ100" s="722">
        <f t="shared" ref="AQ100:BA100" si="9">AQ98*$B$100</f>
        <v>0</v>
      </c>
      <c r="AR100" s="722">
        <f t="shared" si="9"/>
        <v>0</v>
      </c>
      <c r="AS100" s="722">
        <f t="shared" si="9"/>
        <v>0</v>
      </c>
      <c r="AT100" s="722">
        <f t="shared" si="9"/>
        <v>0</v>
      </c>
      <c r="AU100" s="722">
        <f t="shared" si="9"/>
        <v>0</v>
      </c>
      <c r="AV100" s="722">
        <f t="shared" si="9"/>
        <v>69597.902499999997</v>
      </c>
      <c r="AW100" s="722">
        <f t="shared" si="9"/>
        <v>0</v>
      </c>
      <c r="AX100" s="722">
        <f t="shared" si="9"/>
        <v>0</v>
      </c>
      <c r="AY100" s="722">
        <f t="shared" si="9"/>
        <v>205175.67050000001</v>
      </c>
      <c r="AZ100" s="722">
        <f t="shared" si="9"/>
        <v>0</v>
      </c>
      <c r="BA100" s="722">
        <f t="shared" si="9"/>
        <v>0</v>
      </c>
      <c r="BB100" s="724">
        <f t="shared" si="2"/>
        <v>282753.44</v>
      </c>
      <c r="BC100" s="722">
        <f>BC98*$B$100</f>
        <v>11399.81</v>
      </c>
      <c r="BD100" s="722">
        <f t="shared" ref="BD100:BN100" si="10">BD98*$B$100</f>
        <v>0</v>
      </c>
      <c r="BE100" s="722">
        <f t="shared" si="10"/>
        <v>0</v>
      </c>
      <c r="BF100" s="722">
        <f t="shared" si="10"/>
        <v>0</v>
      </c>
      <c r="BG100" s="722">
        <f t="shared" si="10"/>
        <v>0</v>
      </c>
      <c r="BH100" s="722">
        <f t="shared" si="10"/>
        <v>0</v>
      </c>
      <c r="BI100" s="722">
        <f t="shared" si="10"/>
        <v>82164.3125</v>
      </c>
      <c r="BJ100" s="722">
        <f t="shared" si="10"/>
        <v>0</v>
      </c>
      <c r="BK100" s="722">
        <f t="shared" si="10"/>
        <v>0</v>
      </c>
      <c r="BL100" s="722">
        <f t="shared" si="10"/>
        <v>252955.5405</v>
      </c>
      <c r="BM100" s="722">
        <f t="shared" si="10"/>
        <v>0</v>
      </c>
      <c r="BN100" s="722">
        <f t="shared" si="10"/>
        <v>14249.762500000001</v>
      </c>
      <c r="BO100" s="724">
        <f t="shared" si="3"/>
        <v>360769.42550000001</v>
      </c>
      <c r="BP100" s="726">
        <f>O100+AB100+AO100+BB100+BO100</f>
        <v>1172200.3544999999</v>
      </c>
    </row>
    <row r="101" spans="1:68" ht="13.5" customHeight="1" thickBot="1">
      <c r="A101" s="720" t="s">
        <v>77</v>
      </c>
      <c r="B101" s="727">
        <f>'BKFC Inputs'!G6+'BKFC Inputs'!G7</f>
        <v>0.45</v>
      </c>
      <c r="C101" s="722">
        <f t="shared" ref="C101:K101" si="11">((C$98/$C$88)*$C$90)*$B$101</f>
        <v>0</v>
      </c>
      <c r="D101" s="722">
        <f t="shared" si="11"/>
        <v>0</v>
      </c>
      <c r="E101" s="722">
        <f t="shared" si="11"/>
        <v>0</v>
      </c>
      <c r="F101" s="722">
        <f t="shared" si="11"/>
        <v>0</v>
      </c>
      <c r="G101" s="722">
        <f t="shared" si="11"/>
        <v>0</v>
      </c>
      <c r="H101" s="722">
        <f t="shared" si="11"/>
        <v>0</v>
      </c>
      <c r="I101" s="722">
        <f t="shared" si="11"/>
        <v>0</v>
      </c>
      <c r="J101" s="722">
        <f t="shared" si="11"/>
        <v>0</v>
      </c>
      <c r="K101" s="722">
        <f t="shared" si="11"/>
        <v>0</v>
      </c>
      <c r="L101" s="722">
        <v>0</v>
      </c>
      <c r="M101" s="722">
        <v>0</v>
      </c>
      <c r="N101" s="722">
        <v>200000</v>
      </c>
      <c r="O101" s="724">
        <f t="shared" si="0"/>
        <v>200000</v>
      </c>
      <c r="P101" s="722">
        <f>($C$90*$B$101)-N101</f>
        <v>505631.58550000004</v>
      </c>
      <c r="Q101" s="722">
        <v>0</v>
      </c>
      <c r="R101" s="722">
        <v>0</v>
      </c>
      <c r="S101" s="722">
        <f>$H$90*$B$101</f>
        <v>2186203.8240000005</v>
      </c>
      <c r="T101" s="722">
        <v>0</v>
      </c>
      <c r="U101" s="722">
        <v>0</v>
      </c>
      <c r="V101" s="722">
        <f>$M$90*$B$101</f>
        <v>135942.73200000002</v>
      </c>
      <c r="W101" s="722">
        <v>0</v>
      </c>
      <c r="X101" s="722">
        <v>0</v>
      </c>
      <c r="Y101" s="722">
        <f>$R$90*$B$101</f>
        <v>921522.4425</v>
      </c>
      <c r="Z101" s="722">
        <v>0</v>
      </c>
      <c r="AA101" s="722">
        <v>0</v>
      </c>
      <c r="AB101" s="724">
        <f t="shared" si="1"/>
        <v>3749300.5840000003</v>
      </c>
      <c r="AC101" s="722">
        <f>$W$90*$B$101</f>
        <v>3001804.7175000003</v>
      </c>
      <c r="AD101" s="722">
        <v>0</v>
      </c>
      <c r="AE101" s="722">
        <v>0</v>
      </c>
      <c r="AF101" s="722">
        <f>$AB$90*$B$101</f>
        <v>135942.73200000002</v>
      </c>
      <c r="AG101" s="722">
        <f t="shared" ref="AG101:AN101" si="12">((AG$98/$C$88)*$C$90)*$B$101</f>
        <v>0</v>
      </c>
      <c r="AH101" s="722">
        <f t="shared" si="12"/>
        <v>0</v>
      </c>
      <c r="AI101" s="722">
        <f t="shared" si="12"/>
        <v>1360201.0961250002</v>
      </c>
      <c r="AJ101" s="722">
        <f t="shared" si="12"/>
        <v>0</v>
      </c>
      <c r="AK101" s="722">
        <f t="shared" si="12"/>
        <v>0</v>
      </c>
      <c r="AL101" s="722">
        <f t="shared" si="12"/>
        <v>4161708.9816750004</v>
      </c>
      <c r="AM101" s="722">
        <f t="shared" si="12"/>
        <v>0</v>
      </c>
      <c r="AN101" s="722">
        <f t="shared" si="12"/>
        <v>0</v>
      </c>
      <c r="AO101" s="724">
        <f>SUM(AC101:AN101)</f>
        <v>8659657.5273000002</v>
      </c>
      <c r="AP101" s="722">
        <f t="shared" ref="AP101:BA101" si="13">((AP$98/$C$88)*$C$90)*$B$101</f>
        <v>190319.82794999998</v>
      </c>
      <c r="AQ101" s="722">
        <f t="shared" si="13"/>
        <v>0</v>
      </c>
      <c r="AR101" s="722">
        <f t="shared" si="13"/>
        <v>0</v>
      </c>
      <c r="AS101" s="722">
        <f t="shared" si="13"/>
        <v>0</v>
      </c>
      <c r="AT101" s="722">
        <f t="shared" si="13"/>
        <v>0</v>
      </c>
      <c r="AU101" s="722">
        <f t="shared" si="13"/>
        <v>0</v>
      </c>
      <c r="AV101" s="722">
        <f t="shared" si="13"/>
        <v>1659909.974625</v>
      </c>
      <c r="AW101" s="722">
        <f t="shared" si="13"/>
        <v>0</v>
      </c>
      <c r="AX101" s="722">
        <f t="shared" si="13"/>
        <v>0</v>
      </c>
      <c r="AY101" s="722">
        <f t="shared" si="13"/>
        <v>4893439.7414250011</v>
      </c>
      <c r="AZ101" s="722">
        <f t="shared" si="13"/>
        <v>0</v>
      </c>
      <c r="BA101" s="722">
        <f t="shared" si="13"/>
        <v>0</v>
      </c>
      <c r="BB101" s="724">
        <f t="shared" si="2"/>
        <v>6743669.5440000016</v>
      </c>
      <c r="BC101" s="722">
        <f t="shared" ref="BC101:BN101" si="14">((BC$98/$C$88)*$C$90)*$B$101</f>
        <v>271885.46849999996</v>
      </c>
      <c r="BD101" s="722">
        <f t="shared" si="14"/>
        <v>0</v>
      </c>
      <c r="BE101" s="722">
        <f t="shared" si="14"/>
        <v>0</v>
      </c>
      <c r="BF101" s="722">
        <f t="shared" si="14"/>
        <v>0</v>
      </c>
      <c r="BG101" s="722">
        <f t="shared" si="14"/>
        <v>0</v>
      </c>
      <c r="BH101" s="722">
        <f t="shared" si="14"/>
        <v>0</v>
      </c>
      <c r="BI101" s="722">
        <f t="shared" si="14"/>
        <v>1959618.8531250001</v>
      </c>
      <c r="BJ101" s="722">
        <f t="shared" si="14"/>
        <v>0</v>
      </c>
      <c r="BK101" s="722">
        <f t="shared" si="14"/>
        <v>0</v>
      </c>
      <c r="BL101" s="722">
        <f t="shared" si="14"/>
        <v>6032989.6409250004</v>
      </c>
      <c r="BM101" s="722">
        <f t="shared" si="14"/>
        <v>0</v>
      </c>
      <c r="BN101" s="722">
        <f t="shared" si="14"/>
        <v>339856.83562500001</v>
      </c>
      <c r="BO101" s="724">
        <f t="shared" si="3"/>
        <v>8604350.7981749997</v>
      </c>
      <c r="BP101" s="726">
        <f>O101+AB101+AO101+BB101+BO101</f>
        <v>27956978.453475002</v>
      </c>
    </row>
    <row r="102" spans="1:68" s="733" customFormat="1" ht="13.5" customHeight="1" thickBot="1">
      <c r="A102" s="728" t="s">
        <v>5</v>
      </c>
      <c r="B102" s="729"/>
      <c r="C102" s="730">
        <f>C98-C99-C100-C101</f>
        <v>0</v>
      </c>
      <c r="D102" s="730">
        <f t="shared" ref="D102:N102" si="15">D98-D99-D100-D101</f>
        <v>0</v>
      </c>
      <c r="E102" s="730">
        <f t="shared" si="15"/>
        <v>0</v>
      </c>
      <c r="F102" s="730">
        <f t="shared" si="15"/>
        <v>0</v>
      </c>
      <c r="G102" s="730">
        <f t="shared" si="15"/>
        <v>0</v>
      </c>
      <c r="H102" s="730">
        <f t="shared" si="15"/>
        <v>0</v>
      </c>
      <c r="I102" s="730">
        <f t="shared" si="15"/>
        <v>0</v>
      </c>
      <c r="J102" s="730">
        <f t="shared" si="15"/>
        <v>0</v>
      </c>
      <c r="K102" s="730">
        <f t="shared" si="15"/>
        <v>0</v>
      </c>
      <c r="L102" s="730">
        <f t="shared" si="15"/>
        <v>0</v>
      </c>
      <c r="M102" s="730">
        <f t="shared" si="15"/>
        <v>-417165.84299999999</v>
      </c>
      <c r="N102" s="730">
        <f t="shared" si="15"/>
        <v>1249725.27</v>
      </c>
      <c r="O102" s="731">
        <f t="shared" si="0"/>
        <v>832559.42700000003</v>
      </c>
      <c r="P102" s="730">
        <f>P98-P99-P100-P101</f>
        <v>-318792.78450000007</v>
      </c>
      <c r="Q102" s="730">
        <f t="shared" ref="Q102:AA102" si="16">Q98-Q99-Q100-Q101</f>
        <v>3518184.8275000001</v>
      </c>
      <c r="R102" s="730">
        <f t="shared" si="16"/>
        <v>4502867.8630000008</v>
      </c>
      <c r="S102" s="730">
        <f t="shared" si="16"/>
        <v>-4922678.1100000003</v>
      </c>
      <c r="T102" s="730">
        <f t="shared" si="16"/>
        <v>97468.372000000032</v>
      </c>
      <c r="U102" s="730">
        <f t="shared" si="16"/>
        <v>-544799.43000000005</v>
      </c>
      <c r="V102" s="730">
        <f t="shared" si="16"/>
        <v>1757331.8854999999</v>
      </c>
      <c r="W102" s="730">
        <f t="shared" si="16"/>
        <v>660714.20500000007</v>
      </c>
      <c r="X102" s="730">
        <f t="shared" si="16"/>
        <v>-1774651.845</v>
      </c>
      <c r="Y102" s="730">
        <f t="shared" si="16"/>
        <v>5245707.3745000008</v>
      </c>
      <c r="Z102" s="730">
        <f t="shared" si="16"/>
        <v>2152237.3450000002</v>
      </c>
      <c r="AA102" s="730">
        <f t="shared" si="16"/>
        <v>-80368.661999999997</v>
      </c>
      <c r="AB102" s="731">
        <f t="shared" si="1"/>
        <v>10293221.041000001</v>
      </c>
      <c r="AC102" s="730">
        <f>AC98-AC99-AC100-AC101</f>
        <v>-2990404.9125000001</v>
      </c>
      <c r="AD102" s="730">
        <f t="shared" ref="AD102:AN102" si="17">AD98-AD99-AD100-AD101</f>
        <v>97468.372000000032</v>
      </c>
      <c r="AE102" s="730">
        <f t="shared" si="17"/>
        <v>0</v>
      </c>
      <c r="AF102" s="730">
        <f t="shared" si="17"/>
        <v>-135942.73200000002</v>
      </c>
      <c r="AG102" s="730">
        <f t="shared" si="17"/>
        <v>-804144.04499999993</v>
      </c>
      <c r="AH102" s="730">
        <f t="shared" si="17"/>
        <v>0</v>
      </c>
      <c r="AI102" s="730">
        <f t="shared" si="17"/>
        <v>2409580.5563750002</v>
      </c>
      <c r="AJ102" s="730">
        <f t="shared" si="17"/>
        <v>-2460381.4109999998</v>
      </c>
      <c r="AK102" s="730">
        <f t="shared" si="17"/>
        <v>0</v>
      </c>
      <c r="AL102" s="730">
        <f t="shared" si="17"/>
        <v>7372419.4738250002</v>
      </c>
      <c r="AM102" s="730">
        <f t="shared" si="17"/>
        <v>-112516.125</v>
      </c>
      <c r="AN102" s="730">
        <f t="shared" si="17"/>
        <v>0</v>
      </c>
      <c r="AO102" s="731">
        <f>SUM(AC102:AN102)</f>
        <v>3376079.1767000007</v>
      </c>
      <c r="AP102" s="730">
        <f>AP98-AP99-AP100-AP101</f>
        <v>337149.38005000004</v>
      </c>
      <c r="AQ102" s="730">
        <f t="shared" ref="AQ102:BA102" si="18">AQ98-AQ99-AQ100-AQ101</f>
        <v>0</v>
      </c>
      <c r="AR102" s="730">
        <f t="shared" si="18"/>
        <v>0</v>
      </c>
      <c r="AS102" s="730">
        <f t="shared" si="18"/>
        <v>0</v>
      </c>
      <c r="AT102" s="730">
        <f t="shared" si="18"/>
        <v>-981330.42599999998</v>
      </c>
      <c r="AU102" s="730">
        <f t="shared" si="18"/>
        <v>0</v>
      </c>
      <c r="AV102" s="730">
        <f t="shared" si="18"/>
        <v>2940511.3788750004</v>
      </c>
      <c r="AW102" s="730">
        <f t="shared" si="18"/>
        <v>-2892976.9529999997</v>
      </c>
      <c r="AX102" s="730">
        <f t="shared" si="18"/>
        <v>0</v>
      </c>
      <c r="AY102" s="730">
        <f t="shared" si="18"/>
        <v>8668672.0810750015</v>
      </c>
      <c r="AZ102" s="730">
        <f t="shared" si="18"/>
        <v>-160737.32099999997</v>
      </c>
      <c r="BA102" s="730">
        <f t="shared" si="18"/>
        <v>0</v>
      </c>
      <c r="BB102" s="731">
        <f t="shared" si="2"/>
        <v>7911288.1400000025</v>
      </c>
      <c r="BC102" s="730">
        <f>BC98-BC99-BC100-BC101</f>
        <v>481641.97250000003</v>
      </c>
      <c r="BD102" s="730">
        <f t="shared" ref="BD102:BN102" si="19">BD98-BD99-BD100-BD101</f>
        <v>0</v>
      </c>
      <c r="BE102" s="730">
        <f t="shared" si="19"/>
        <v>0</v>
      </c>
      <c r="BF102" s="730">
        <f t="shared" si="19"/>
        <v>0</v>
      </c>
      <c r="BG102" s="730">
        <f t="shared" si="19"/>
        <v>-1158516.807</v>
      </c>
      <c r="BH102" s="730">
        <f t="shared" si="19"/>
        <v>0</v>
      </c>
      <c r="BI102" s="730">
        <f t="shared" si="19"/>
        <v>3471442.2013750002</v>
      </c>
      <c r="BJ102" s="730">
        <f t="shared" si="19"/>
        <v>-3566673.12</v>
      </c>
      <c r="BK102" s="730">
        <f t="shared" si="19"/>
        <v>0</v>
      </c>
      <c r="BL102" s="730">
        <f t="shared" si="19"/>
        <v>10687371.588575002</v>
      </c>
      <c r="BM102" s="730">
        <f t="shared" si="19"/>
        <v>-200921.65199999997</v>
      </c>
      <c r="BN102" s="730">
        <f t="shared" si="19"/>
        <v>602052.46387500013</v>
      </c>
      <c r="BO102" s="731">
        <f t="shared" si="3"/>
        <v>10316396.647325</v>
      </c>
      <c r="BP102" s="732">
        <f>O102+AB102+AO102+BB102+BO102</f>
        <v>32729544.432025008</v>
      </c>
    </row>
    <row r="103" spans="1:68" s="556" customFormat="1">
      <c r="B103" s="543"/>
      <c r="C103" s="543"/>
      <c r="D103" s="543"/>
      <c r="E103" s="543"/>
      <c r="F103" s="543"/>
      <c r="G103" s="543"/>
      <c r="H103" s="543"/>
      <c r="J103" s="551"/>
      <c r="L103" s="543"/>
      <c r="O103" s="543"/>
      <c r="Q103" s="543"/>
      <c r="T103" s="543"/>
      <c r="V103" s="543"/>
      <c r="Y103" s="543"/>
      <c r="AB103" s="619"/>
    </row>
    <row r="104" spans="1:68">
      <c r="M104" s="980"/>
    </row>
    <row r="105" spans="1:68">
      <c r="L105" s="974"/>
      <c r="M105" s="980"/>
    </row>
    <row r="106" spans="1:68">
      <c r="M106" s="980"/>
    </row>
  </sheetData>
  <mergeCells count="240">
    <mergeCell ref="BJ69:BJ70"/>
    <mergeCell ref="BK69:BK70"/>
    <mergeCell ref="BL69:BL70"/>
    <mergeCell ref="BO69:BO70"/>
    <mergeCell ref="BP69:BP70"/>
    <mergeCell ref="BQ69:BQ70"/>
    <mergeCell ref="BT69:BT70"/>
    <mergeCell ref="BU69:BU70"/>
    <mergeCell ref="BV69:BV70"/>
    <mergeCell ref="BJ53:BJ54"/>
    <mergeCell ref="BK53:BK54"/>
    <mergeCell ref="BL53:BL54"/>
    <mergeCell ref="BO53:BO54"/>
    <mergeCell ref="BP53:BP54"/>
    <mergeCell ref="BQ53:BQ54"/>
    <mergeCell ref="BT53:BT54"/>
    <mergeCell ref="BU53:BU54"/>
    <mergeCell ref="BV53:BV54"/>
    <mergeCell ref="BJ37:BJ38"/>
    <mergeCell ref="BK37:BK38"/>
    <mergeCell ref="BL37:BL38"/>
    <mergeCell ref="BO37:BO38"/>
    <mergeCell ref="BP37:BP38"/>
    <mergeCell ref="BQ37:BQ38"/>
    <mergeCell ref="BT37:BT38"/>
    <mergeCell ref="BU37:BU38"/>
    <mergeCell ref="BV37:BV38"/>
    <mergeCell ref="BJ21:BJ22"/>
    <mergeCell ref="BK21:BK22"/>
    <mergeCell ref="BL21:BL22"/>
    <mergeCell ref="BO21:BO22"/>
    <mergeCell ref="BP21:BP22"/>
    <mergeCell ref="BQ21:BQ22"/>
    <mergeCell ref="BT21:BT22"/>
    <mergeCell ref="BU21:BU22"/>
    <mergeCell ref="BV21:BV22"/>
    <mergeCell ref="BJ5:BJ6"/>
    <mergeCell ref="BK5:BK6"/>
    <mergeCell ref="BL5:BL6"/>
    <mergeCell ref="BO5:BO6"/>
    <mergeCell ref="BP5:BP6"/>
    <mergeCell ref="BQ5:BQ6"/>
    <mergeCell ref="BT5:BT6"/>
    <mergeCell ref="BU5:BU6"/>
    <mergeCell ref="BV5:BV6"/>
    <mergeCell ref="AU69:AU70"/>
    <mergeCell ref="AV69:AV70"/>
    <mergeCell ref="AW69:AW70"/>
    <mergeCell ref="AZ69:AZ70"/>
    <mergeCell ref="BA69:BA70"/>
    <mergeCell ref="BB69:BB70"/>
    <mergeCell ref="BE69:BE70"/>
    <mergeCell ref="BF69:BF70"/>
    <mergeCell ref="BG69:BG70"/>
    <mergeCell ref="AU53:AU54"/>
    <mergeCell ref="AV53:AV54"/>
    <mergeCell ref="AW53:AW54"/>
    <mergeCell ref="AZ53:AZ54"/>
    <mergeCell ref="BA53:BA54"/>
    <mergeCell ref="BB53:BB54"/>
    <mergeCell ref="BE53:BE54"/>
    <mergeCell ref="BF53:BF54"/>
    <mergeCell ref="BG53:BG54"/>
    <mergeCell ref="AU37:AU38"/>
    <mergeCell ref="AV37:AV38"/>
    <mergeCell ref="AW37:AW38"/>
    <mergeCell ref="AZ37:AZ38"/>
    <mergeCell ref="BA37:BA38"/>
    <mergeCell ref="BB37:BB38"/>
    <mergeCell ref="BE37:BE38"/>
    <mergeCell ref="BF37:BF38"/>
    <mergeCell ref="BG37:BG38"/>
    <mergeCell ref="AU21:AU22"/>
    <mergeCell ref="AV21:AV22"/>
    <mergeCell ref="AW21:AW22"/>
    <mergeCell ref="AZ21:AZ22"/>
    <mergeCell ref="BA21:BA22"/>
    <mergeCell ref="BB21:BB22"/>
    <mergeCell ref="BE21:BE22"/>
    <mergeCell ref="BF21:BF22"/>
    <mergeCell ref="BG21:BG22"/>
    <mergeCell ref="AU5:AU6"/>
    <mergeCell ref="AV5:AV6"/>
    <mergeCell ref="AW5:AW6"/>
    <mergeCell ref="AZ5:AZ6"/>
    <mergeCell ref="BA5:BA6"/>
    <mergeCell ref="BB5:BB6"/>
    <mergeCell ref="BE5:BE6"/>
    <mergeCell ref="BF5:BF6"/>
    <mergeCell ref="BG5:BG6"/>
    <mergeCell ref="I5:I6"/>
    <mergeCell ref="J5:J6"/>
    <mergeCell ref="L5:L6"/>
    <mergeCell ref="M5:M6"/>
    <mergeCell ref="N5:N6"/>
    <mergeCell ref="O5:O6"/>
    <mergeCell ref="B5:B6"/>
    <mergeCell ref="C5:C6"/>
    <mergeCell ref="D5:D6"/>
    <mergeCell ref="E5:E6"/>
    <mergeCell ref="G5:G6"/>
    <mergeCell ref="H5:H6"/>
    <mergeCell ref="AA5:AA6"/>
    <mergeCell ref="AB5:AB6"/>
    <mergeCell ref="AC5:AC6"/>
    <mergeCell ref="AF5:AF6"/>
    <mergeCell ref="AG5:AG6"/>
    <mergeCell ref="AH5:AH6"/>
    <mergeCell ref="Q5:Q6"/>
    <mergeCell ref="R5:R6"/>
    <mergeCell ref="S5:S6"/>
    <mergeCell ref="V5:V6"/>
    <mergeCell ref="W5:W6"/>
    <mergeCell ref="X5:X6"/>
    <mergeCell ref="I21:I22"/>
    <mergeCell ref="J21:J22"/>
    <mergeCell ref="L21:L22"/>
    <mergeCell ref="M21:M22"/>
    <mergeCell ref="N21:N22"/>
    <mergeCell ref="O21:O22"/>
    <mergeCell ref="B21:B22"/>
    <mergeCell ref="C21:C22"/>
    <mergeCell ref="D21:D22"/>
    <mergeCell ref="E21:E22"/>
    <mergeCell ref="G21:G22"/>
    <mergeCell ref="H21:H22"/>
    <mergeCell ref="AA21:AA22"/>
    <mergeCell ref="AB21:AB22"/>
    <mergeCell ref="AC21:AC22"/>
    <mergeCell ref="AF21:AF22"/>
    <mergeCell ref="AG21:AG22"/>
    <mergeCell ref="AH21:AH22"/>
    <mergeCell ref="Q21:Q22"/>
    <mergeCell ref="R21:R22"/>
    <mergeCell ref="S21:S22"/>
    <mergeCell ref="V21:V22"/>
    <mergeCell ref="W21:W22"/>
    <mergeCell ref="X21:X22"/>
    <mergeCell ref="I37:I38"/>
    <mergeCell ref="J37:J38"/>
    <mergeCell ref="L37:L38"/>
    <mergeCell ref="M37:M38"/>
    <mergeCell ref="N37:N38"/>
    <mergeCell ref="O37:O38"/>
    <mergeCell ref="B37:B38"/>
    <mergeCell ref="C37:C38"/>
    <mergeCell ref="D37:D38"/>
    <mergeCell ref="E37:E38"/>
    <mergeCell ref="G37:G38"/>
    <mergeCell ref="H37:H38"/>
    <mergeCell ref="AA37:AA38"/>
    <mergeCell ref="AB37:AB38"/>
    <mergeCell ref="AC37:AC38"/>
    <mergeCell ref="AF37:AF38"/>
    <mergeCell ref="AG37:AG38"/>
    <mergeCell ref="AH37:AH38"/>
    <mergeCell ref="Q37:Q38"/>
    <mergeCell ref="R37:R38"/>
    <mergeCell ref="S37:S38"/>
    <mergeCell ref="V37:V38"/>
    <mergeCell ref="W37:W38"/>
    <mergeCell ref="X37:X38"/>
    <mergeCell ref="AF53:AF54"/>
    <mergeCell ref="AG53:AG54"/>
    <mergeCell ref="AH53:AH54"/>
    <mergeCell ref="Q53:Q54"/>
    <mergeCell ref="R53:R54"/>
    <mergeCell ref="S53:S54"/>
    <mergeCell ref="V53:V54"/>
    <mergeCell ref="W53:W54"/>
    <mergeCell ref="X53:X54"/>
    <mergeCell ref="B69:B70"/>
    <mergeCell ref="C69:C70"/>
    <mergeCell ref="D69:D70"/>
    <mergeCell ref="E69:E70"/>
    <mergeCell ref="G69:G70"/>
    <mergeCell ref="H69:H70"/>
    <mergeCell ref="AA53:AA54"/>
    <mergeCell ref="AB53:AB54"/>
    <mergeCell ref="AC53:AC54"/>
    <mergeCell ref="I53:I54"/>
    <mergeCell ref="J53:J54"/>
    <mergeCell ref="L53:L54"/>
    <mergeCell ref="M53:M54"/>
    <mergeCell ref="N53:N54"/>
    <mergeCell ref="O53:O54"/>
    <mergeCell ref="B53:B54"/>
    <mergeCell ref="C53:C54"/>
    <mergeCell ref="D53:D54"/>
    <mergeCell ref="E53:E54"/>
    <mergeCell ref="G53:G54"/>
    <mergeCell ref="H53:H54"/>
    <mergeCell ref="V69:V70"/>
    <mergeCell ref="W69:W70"/>
    <mergeCell ref="X69:X70"/>
    <mergeCell ref="I69:I70"/>
    <mergeCell ref="J69:J70"/>
    <mergeCell ref="L69:L70"/>
    <mergeCell ref="M69:M70"/>
    <mergeCell ref="N69:N70"/>
    <mergeCell ref="O69:O70"/>
    <mergeCell ref="AP5:AP6"/>
    <mergeCell ref="AQ5:AQ6"/>
    <mergeCell ref="AR5:AR6"/>
    <mergeCell ref="AP21:AP22"/>
    <mergeCell ref="AQ21:AQ22"/>
    <mergeCell ref="AR21:AR22"/>
    <mergeCell ref="AP37:AP38"/>
    <mergeCell ref="AK37:AK38"/>
    <mergeCell ref="AL37:AL38"/>
    <mergeCell ref="AM37:AM38"/>
    <mergeCell ref="AK5:AK6"/>
    <mergeCell ref="AL5:AL6"/>
    <mergeCell ref="AM5:AM6"/>
    <mergeCell ref="AK21:AK22"/>
    <mergeCell ref="AL21:AL22"/>
    <mergeCell ref="AM21:AM22"/>
    <mergeCell ref="AQ37:AQ38"/>
    <mergeCell ref="AR37:AR38"/>
    <mergeCell ref="AP53:AP54"/>
    <mergeCell ref="AQ53:AQ54"/>
    <mergeCell ref="AR53:AR54"/>
    <mergeCell ref="AP69:AP70"/>
    <mergeCell ref="AQ69:AQ70"/>
    <mergeCell ref="AR69:AR70"/>
    <mergeCell ref="AK69:AK70"/>
    <mergeCell ref="AL69:AL70"/>
    <mergeCell ref="AM69:AM70"/>
    <mergeCell ref="AK53:AK54"/>
    <mergeCell ref="AL53:AL54"/>
    <mergeCell ref="AM53:AM54"/>
    <mergeCell ref="AA69:AA70"/>
    <mergeCell ref="AB69:AB70"/>
    <mergeCell ref="AC69:AC70"/>
    <mergeCell ref="AF69:AF70"/>
    <mergeCell ref="AG69:AG70"/>
    <mergeCell ref="AH69:AH70"/>
    <mergeCell ref="Q69:Q70"/>
    <mergeCell ref="R69:R70"/>
    <mergeCell ref="S69:S7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A6BA-024B-4249-B131-28333A68558B}">
  <dimension ref="A1:V131"/>
  <sheetViews>
    <sheetView workbookViewId="0">
      <selection activeCell="C19" sqref="C19"/>
    </sheetView>
  </sheetViews>
  <sheetFormatPr baseColWidth="10" defaultColWidth="8.6640625" defaultRowHeight="15"/>
  <cols>
    <col min="1" max="1" width="13.83203125" style="556" bestFit="1" customWidth="1"/>
    <col min="2" max="2" width="2.83203125" style="543" customWidth="1"/>
    <col min="3" max="3" width="13.83203125" style="556" bestFit="1" customWidth="1"/>
    <col min="4" max="4" width="2.6640625" style="556" customWidth="1"/>
    <col min="5" max="5" width="10.33203125" style="543" customWidth="1"/>
    <col min="6" max="6" width="2.6640625" style="745" customWidth="1"/>
    <col min="7" max="7" width="9.6640625" style="746" customWidth="1"/>
    <col min="8" max="8" width="2.6640625" style="747" customWidth="1"/>
    <col min="9" max="9" width="9.5" style="747" bestFit="1" customWidth="1"/>
    <col min="10" max="10" width="2.6640625" style="746" customWidth="1"/>
    <col min="11" max="11" width="10.1640625" style="747" bestFit="1" customWidth="1"/>
    <col min="12" max="12" width="2.6640625" style="746" customWidth="1"/>
    <col min="13" max="13" width="10.1640625" style="747" bestFit="1" customWidth="1"/>
    <col min="14" max="14" width="9.6640625" style="619" customWidth="1"/>
    <col min="15" max="16384" width="8.6640625" style="556"/>
  </cols>
  <sheetData>
    <row r="1" spans="1:22">
      <c r="A1" s="1154" t="s">
        <v>873</v>
      </c>
      <c r="B1" s="1154"/>
      <c r="C1" s="1154"/>
      <c r="D1" s="1154"/>
      <c r="E1" s="1154"/>
      <c r="F1" s="1154"/>
      <c r="G1" s="1154"/>
      <c r="H1" s="1154"/>
      <c r="I1" s="1154"/>
      <c r="J1" s="1154"/>
      <c r="K1" s="1154"/>
      <c r="L1" s="1154"/>
      <c r="M1" s="1154"/>
    </row>
    <row r="2" spans="1:22">
      <c r="A2" s="741"/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556"/>
    </row>
    <row r="3" spans="1:22" ht="16" thickBot="1">
      <c r="A3" s="741"/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556"/>
    </row>
    <row r="4" spans="1:22" ht="16" thickBot="1">
      <c r="A4" s="742" t="s">
        <v>1022</v>
      </c>
      <c r="B4" s="743"/>
      <c r="C4" s="743"/>
      <c r="D4" s="743"/>
      <c r="E4" s="743"/>
      <c r="F4" s="743"/>
      <c r="G4" s="744"/>
      <c r="H4" s="551"/>
      <c r="I4" s="745"/>
      <c r="M4" s="746"/>
      <c r="N4" s="551"/>
    </row>
    <row r="5" spans="1:22">
      <c r="A5" s="748" t="s">
        <v>731</v>
      </c>
      <c r="B5" s="749"/>
      <c r="C5" s="749"/>
      <c r="D5" s="749"/>
      <c r="E5" s="749"/>
      <c r="F5" s="749"/>
      <c r="G5" s="750"/>
      <c r="H5" s="551"/>
      <c r="I5" s="745"/>
      <c r="M5" s="746"/>
      <c r="N5" s="551"/>
    </row>
    <row r="6" spans="1:22">
      <c r="A6" s="751"/>
      <c r="B6" s="752" t="s">
        <v>872</v>
      </c>
      <c r="C6" s="737"/>
      <c r="D6" s="737"/>
      <c r="E6" s="737"/>
      <c r="F6" s="737"/>
      <c r="G6" s="738">
        <v>0.1</v>
      </c>
      <c r="H6" s="551"/>
      <c r="I6" s="745"/>
      <c r="M6" s="746"/>
      <c r="N6" s="551"/>
    </row>
    <row r="7" spans="1:22">
      <c r="A7" s="751"/>
      <c r="B7" s="752" t="s">
        <v>735</v>
      </c>
      <c r="C7" s="737"/>
      <c r="D7" s="737"/>
      <c r="E7" s="737"/>
      <c r="F7" s="737"/>
      <c r="G7" s="738">
        <f>'Model Assumptions'!R9</f>
        <v>0</v>
      </c>
      <c r="H7" s="551"/>
      <c r="I7" s="745"/>
      <c r="M7" s="746"/>
      <c r="N7" s="551"/>
      <c r="O7" s="1048"/>
      <c r="P7"/>
      <c r="Q7" s="1049"/>
      <c r="R7" s="1050"/>
      <c r="S7" s="1051"/>
      <c r="T7" s="1049"/>
      <c r="U7" s="1052"/>
      <c r="V7" s="1052"/>
    </row>
    <row r="8" spans="1:22">
      <c r="A8" s="751"/>
      <c r="B8" s="752"/>
      <c r="C8" s="737"/>
      <c r="D8" s="737"/>
      <c r="E8" s="737"/>
      <c r="F8" s="737"/>
      <c r="G8" s="738"/>
      <c r="H8" s="551"/>
      <c r="I8" s="745"/>
      <c r="M8" s="746"/>
      <c r="N8" s="551"/>
      <c r="O8" s="1048"/>
      <c r="P8"/>
      <c r="Q8" s="1049"/>
      <c r="R8" s="1050"/>
      <c r="S8" s="1051"/>
      <c r="T8" s="1049"/>
      <c r="U8" s="1052"/>
      <c r="V8" s="1052"/>
    </row>
    <row r="9" spans="1:22">
      <c r="A9" s="751" t="s">
        <v>732</v>
      </c>
      <c r="B9" s="753"/>
      <c r="C9" s="753"/>
      <c r="D9" s="753"/>
      <c r="E9" s="753"/>
      <c r="F9" s="753"/>
      <c r="G9" s="754"/>
      <c r="H9" s="551"/>
      <c r="I9" s="745"/>
      <c r="M9" s="746"/>
      <c r="N9" s="551"/>
      <c r="O9" s="1048"/>
      <c r="P9"/>
      <c r="Q9" s="1049"/>
      <c r="R9" s="1050"/>
      <c r="S9" s="1051"/>
      <c r="T9" s="1049"/>
      <c r="U9" s="1052"/>
      <c r="V9" s="1052"/>
    </row>
    <row r="10" spans="1:22">
      <c r="A10" s="751"/>
      <c r="B10" s="752" t="s">
        <v>861</v>
      </c>
      <c r="C10" s="737"/>
      <c r="D10" s="737"/>
      <c r="E10" s="737"/>
      <c r="F10" s="737"/>
      <c r="G10" s="738">
        <v>0.6</v>
      </c>
      <c r="H10" s="551"/>
      <c r="I10" s="745"/>
      <c r="M10" s="746"/>
      <c r="N10" s="551"/>
      <c r="O10" s="1048"/>
      <c r="P10"/>
      <c r="Q10" s="1049"/>
      <c r="R10" s="1050"/>
      <c r="S10" s="1051"/>
      <c r="T10" s="1049"/>
      <c r="U10" s="1052"/>
      <c r="V10" s="1052"/>
    </row>
    <row r="11" spans="1:22">
      <c r="A11" s="751"/>
      <c r="B11" s="752" t="s">
        <v>862</v>
      </c>
      <c r="C11" s="737"/>
      <c r="D11" s="737"/>
      <c r="E11" s="737"/>
      <c r="F11" s="737"/>
      <c r="G11" s="738">
        <v>0.5</v>
      </c>
      <c r="H11" s="551"/>
      <c r="I11" s="745"/>
      <c r="M11" s="746"/>
      <c r="N11" s="551"/>
    </row>
    <row r="12" spans="1:22">
      <c r="A12" s="751"/>
      <c r="B12" s="752" t="s">
        <v>863</v>
      </c>
      <c r="C12" s="737"/>
      <c r="D12" s="737"/>
      <c r="E12" s="737"/>
      <c r="F12" s="737"/>
      <c r="G12" s="738">
        <v>0.05</v>
      </c>
      <c r="H12" s="551"/>
      <c r="I12" s="745"/>
      <c r="M12" s="746"/>
      <c r="N12" s="551"/>
    </row>
    <row r="13" spans="1:22">
      <c r="A13" s="751"/>
      <c r="B13" s="752" t="s">
        <v>736</v>
      </c>
      <c r="C13" s="737"/>
      <c r="D13" s="737"/>
      <c r="E13" s="737"/>
      <c r="F13" s="737"/>
      <c r="G13" s="738">
        <v>0.01</v>
      </c>
      <c r="H13" s="551"/>
      <c r="I13" s="745"/>
      <c r="M13" s="746"/>
      <c r="N13" s="551"/>
    </row>
    <row r="14" spans="1:22" ht="16" thickBot="1">
      <c r="A14" s="755"/>
      <c r="B14" s="756" t="s">
        <v>729</v>
      </c>
      <c r="C14" s="739"/>
      <c r="D14" s="739"/>
      <c r="E14" s="739"/>
      <c r="F14" s="739"/>
      <c r="G14" s="740">
        <v>0.5</v>
      </c>
      <c r="H14" s="551"/>
      <c r="I14" s="745"/>
      <c r="M14" s="746"/>
      <c r="N14" s="551"/>
    </row>
    <row r="15" spans="1:22" ht="16" thickBot="1">
      <c r="D15" s="543"/>
      <c r="E15" s="551"/>
      <c r="I15" s="746"/>
    </row>
    <row r="16" spans="1:22" ht="16" thickBot="1">
      <c r="A16" s="1155" t="s">
        <v>991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7"/>
      <c r="N16" s="758"/>
    </row>
    <row r="17" spans="1:14">
      <c r="A17" s="759"/>
      <c r="B17" s="760"/>
      <c r="C17" s="761"/>
      <c r="D17" s="760"/>
      <c r="E17" s="761"/>
      <c r="F17" s="762"/>
      <c r="G17" s="763"/>
      <c r="H17" s="764"/>
      <c r="I17" s="763"/>
      <c r="J17" s="764"/>
      <c r="K17" s="764"/>
      <c r="L17" s="763"/>
      <c r="M17" s="765"/>
      <c r="N17" s="758"/>
    </row>
    <row r="18" spans="1:14">
      <c r="A18" s="759" t="s">
        <v>874</v>
      </c>
      <c r="B18" s="760"/>
      <c r="C18" s="766" t="s">
        <v>1023</v>
      </c>
      <c r="D18" s="760"/>
      <c r="E18" s="767"/>
      <c r="F18" s="762"/>
      <c r="G18" s="763"/>
      <c r="H18" s="764"/>
      <c r="I18" s="763"/>
      <c r="J18" s="768"/>
      <c r="K18" s="764"/>
      <c r="L18" s="763"/>
      <c r="M18" s="765"/>
    </row>
    <row r="19" spans="1:14">
      <c r="A19" s="759" t="s">
        <v>876</v>
      </c>
      <c r="B19" s="760"/>
      <c r="C19" s="766">
        <v>46539</v>
      </c>
      <c r="D19" s="760"/>
      <c r="E19" s="767"/>
      <c r="F19" s="762"/>
      <c r="G19" s="763"/>
      <c r="H19" s="764"/>
      <c r="I19" s="763"/>
      <c r="J19" s="768"/>
      <c r="K19" s="764"/>
      <c r="L19" s="763"/>
      <c r="M19" s="765"/>
    </row>
    <row r="20" spans="1:14" ht="16" thickBot="1">
      <c r="A20" s="759"/>
      <c r="B20" s="760"/>
      <c r="C20" s="761"/>
      <c r="D20" s="760"/>
      <c r="E20" s="761"/>
      <c r="F20" s="762"/>
      <c r="G20" s="763"/>
      <c r="H20" s="764"/>
      <c r="I20" s="763"/>
      <c r="J20" s="764"/>
      <c r="K20" s="764"/>
      <c r="L20" s="763"/>
      <c r="M20" s="765"/>
    </row>
    <row r="21" spans="1:14" ht="16" thickBot="1">
      <c r="A21" s="1155" t="s">
        <v>877</v>
      </c>
      <c r="B21" s="1156"/>
      <c r="C21" s="1156"/>
      <c r="D21" s="1156"/>
      <c r="E21" s="1156"/>
      <c r="F21" s="1156"/>
      <c r="G21" s="1156"/>
      <c r="H21" s="1156"/>
      <c r="I21" s="1156"/>
      <c r="J21" s="1156"/>
      <c r="K21" s="1156"/>
      <c r="L21" s="1156"/>
      <c r="M21" s="1157"/>
    </row>
    <row r="22" spans="1:14">
      <c r="A22" s="769" t="s">
        <v>878</v>
      </c>
      <c r="B22" s="770"/>
      <c r="C22" s="770" t="s">
        <v>879</v>
      </c>
      <c r="D22" s="770"/>
      <c r="E22" s="770" t="s">
        <v>880</v>
      </c>
      <c r="F22" s="771"/>
      <c r="G22" s="772" t="s">
        <v>881</v>
      </c>
      <c r="H22" s="773"/>
      <c r="I22" s="772" t="s">
        <v>515</v>
      </c>
      <c r="J22" s="773"/>
      <c r="K22" s="773" t="s">
        <v>516</v>
      </c>
      <c r="L22" s="772"/>
      <c r="M22" s="774" t="s">
        <v>517</v>
      </c>
    </row>
    <row r="23" spans="1:14" ht="16">
      <c r="A23" s="759" t="s">
        <v>169</v>
      </c>
      <c r="B23" s="775"/>
      <c r="C23" s="776" t="s">
        <v>882</v>
      </c>
      <c r="D23" s="777"/>
      <c r="E23" s="778">
        <v>199.99</v>
      </c>
      <c r="F23" s="779"/>
      <c r="G23" s="780">
        <v>1000</v>
      </c>
      <c r="H23" s="781"/>
      <c r="I23" s="780">
        <v>12</v>
      </c>
      <c r="J23" s="780"/>
      <c r="K23" s="780">
        <v>12</v>
      </c>
      <c r="L23" s="780"/>
      <c r="M23" s="782">
        <v>5</v>
      </c>
    </row>
    <row r="24" spans="1:14">
      <c r="A24" s="759" t="s">
        <v>883</v>
      </c>
      <c r="B24" s="775"/>
      <c r="C24" s="777" t="s">
        <v>882</v>
      </c>
      <c r="D24" s="777"/>
      <c r="E24" s="778">
        <v>49</v>
      </c>
      <c r="F24" s="779"/>
      <c r="G24" s="780">
        <v>750</v>
      </c>
      <c r="H24" s="780"/>
      <c r="I24" s="780">
        <v>20</v>
      </c>
      <c r="J24" s="780"/>
      <c r="K24" s="780">
        <v>8</v>
      </c>
      <c r="L24" s="780"/>
      <c r="M24" s="783">
        <v>7</v>
      </c>
    </row>
    <row r="25" spans="1:14">
      <c r="A25" s="759" t="s">
        <v>885</v>
      </c>
      <c r="B25" s="775"/>
      <c r="C25" s="777" t="s">
        <v>882</v>
      </c>
      <c r="D25" s="777"/>
      <c r="E25" s="778">
        <v>29</v>
      </c>
      <c r="F25" s="779"/>
      <c r="G25" s="780">
        <v>750</v>
      </c>
      <c r="H25" s="780"/>
      <c r="I25" s="780">
        <v>40</v>
      </c>
      <c r="J25" s="780"/>
      <c r="K25" s="780">
        <v>8</v>
      </c>
      <c r="L25" s="780"/>
      <c r="M25" s="783">
        <v>4</v>
      </c>
    </row>
    <row r="26" spans="1:14">
      <c r="A26" s="759" t="s">
        <v>886</v>
      </c>
      <c r="B26" s="775"/>
      <c r="C26" s="777" t="s">
        <v>882</v>
      </c>
      <c r="D26" s="777"/>
      <c r="E26" s="778">
        <v>14.99</v>
      </c>
      <c r="F26" s="779"/>
      <c r="G26" s="780">
        <v>750</v>
      </c>
      <c r="H26" s="780"/>
      <c r="I26" s="780">
        <v>24</v>
      </c>
      <c r="J26" s="780"/>
      <c r="K26" s="780">
        <v>1</v>
      </c>
      <c r="L26" s="780"/>
      <c r="M26" s="783">
        <v>30</v>
      </c>
    </row>
    <row r="27" spans="1:14" ht="16" thickBot="1">
      <c r="A27" s="784" t="s">
        <v>992</v>
      </c>
      <c r="B27" s="785"/>
      <c r="C27" s="786" t="s">
        <v>884</v>
      </c>
      <c r="D27" s="786"/>
      <c r="E27" s="787">
        <v>0</v>
      </c>
      <c r="F27" s="788"/>
      <c r="G27" s="789">
        <v>0</v>
      </c>
      <c r="H27" s="789"/>
      <c r="I27" s="789">
        <v>0</v>
      </c>
      <c r="J27" s="789"/>
      <c r="K27" s="789">
        <v>0</v>
      </c>
      <c r="L27" s="789"/>
      <c r="M27" s="790">
        <v>0</v>
      </c>
    </row>
    <row r="28" spans="1:14" ht="16" thickBot="1">
      <c r="B28" s="757"/>
      <c r="D28" s="791"/>
      <c r="G28" s="792"/>
      <c r="I28" s="793"/>
      <c r="L28" s="792"/>
    </row>
    <row r="29" spans="1:14" ht="16" thickBot="1">
      <c r="A29" s="1158" t="s">
        <v>993</v>
      </c>
      <c r="B29" s="1159"/>
      <c r="C29" s="1159"/>
      <c r="D29" s="1159"/>
      <c r="E29" s="1159"/>
      <c r="F29" s="1159"/>
      <c r="G29" s="1159"/>
      <c r="H29" s="1159"/>
      <c r="I29" s="1159"/>
      <c r="J29" s="1159"/>
      <c r="K29" s="1159"/>
      <c r="L29" s="1159"/>
      <c r="M29" s="1160"/>
    </row>
    <row r="30" spans="1:14">
      <c r="A30" s="795"/>
      <c r="B30" s="796"/>
      <c r="C30" s="797"/>
      <c r="D30" s="796"/>
      <c r="E30" s="797"/>
      <c r="F30" s="798"/>
      <c r="G30" s="799"/>
      <c r="H30" s="800"/>
      <c r="I30" s="799"/>
      <c r="J30" s="800"/>
      <c r="K30" s="800"/>
      <c r="L30" s="799"/>
      <c r="M30" s="801"/>
    </row>
    <row r="31" spans="1:14">
      <c r="A31" s="795" t="s">
        <v>874</v>
      </c>
      <c r="B31" s="796"/>
      <c r="C31" s="797" t="s">
        <v>1025</v>
      </c>
      <c r="D31" s="796"/>
      <c r="E31" s="797"/>
      <c r="F31" s="798"/>
      <c r="G31" s="799"/>
      <c r="H31" s="800"/>
      <c r="I31" s="799"/>
      <c r="J31" s="800"/>
      <c r="K31" s="800"/>
      <c r="L31" s="799"/>
      <c r="M31" s="801"/>
    </row>
    <row r="32" spans="1:14">
      <c r="A32" s="795" t="s">
        <v>876</v>
      </c>
      <c r="B32" s="796"/>
      <c r="C32" s="802">
        <v>46905</v>
      </c>
      <c r="D32" s="796"/>
      <c r="E32" s="803"/>
      <c r="F32" s="798"/>
      <c r="G32" s="799"/>
      <c r="H32" s="800"/>
      <c r="I32" s="799"/>
      <c r="J32" s="804"/>
      <c r="K32" s="800"/>
      <c r="L32" s="799"/>
      <c r="M32" s="801"/>
    </row>
    <row r="33" spans="1:14" ht="16" thickBot="1">
      <c r="A33" s="795"/>
      <c r="B33" s="796"/>
      <c r="C33" s="797"/>
      <c r="D33" s="796"/>
      <c r="E33" s="797"/>
      <c r="F33" s="798"/>
      <c r="G33" s="799"/>
      <c r="H33" s="800"/>
      <c r="I33" s="799"/>
      <c r="J33" s="800"/>
      <c r="K33" s="800"/>
      <c r="L33" s="799"/>
      <c r="M33" s="801"/>
    </row>
    <row r="34" spans="1:14" ht="16" thickBot="1">
      <c r="A34" s="1158" t="s">
        <v>877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60"/>
    </row>
    <row r="35" spans="1:14">
      <c r="A35" s="805" t="s">
        <v>878</v>
      </c>
      <c r="B35" s="806"/>
      <c r="C35" s="806" t="s">
        <v>879</v>
      </c>
      <c r="D35" s="806"/>
      <c r="E35" s="806" t="s">
        <v>880</v>
      </c>
      <c r="F35" s="807"/>
      <c r="G35" s="808" t="s">
        <v>881</v>
      </c>
      <c r="H35" s="809"/>
      <c r="I35" s="808" t="s">
        <v>515</v>
      </c>
      <c r="J35" s="809"/>
      <c r="K35" s="809" t="s">
        <v>516</v>
      </c>
      <c r="L35" s="808"/>
      <c r="M35" s="810" t="s">
        <v>517</v>
      </c>
    </row>
    <row r="36" spans="1:14" ht="16">
      <c r="A36" s="795" t="s">
        <v>169</v>
      </c>
      <c r="B36" s="811"/>
      <c r="C36" s="812" t="s">
        <v>882</v>
      </c>
      <c r="D36" s="813"/>
      <c r="E36" s="814">
        <v>199.99</v>
      </c>
      <c r="F36" s="815"/>
      <c r="G36" s="816">
        <v>1500</v>
      </c>
      <c r="H36" s="817"/>
      <c r="I36" s="816">
        <v>12</v>
      </c>
      <c r="J36" s="816"/>
      <c r="K36" s="816">
        <v>12</v>
      </c>
      <c r="L36" s="816"/>
      <c r="M36" s="818">
        <v>5</v>
      </c>
    </row>
    <row r="37" spans="1:14">
      <c r="A37" s="795" t="s">
        <v>883</v>
      </c>
      <c r="B37" s="811"/>
      <c r="C37" s="813" t="s">
        <v>882</v>
      </c>
      <c r="D37" s="813"/>
      <c r="E37" s="814">
        <v>49</v>
      </c>
      <c r="F37" s="815"/>
      <c r="G37" s="816">
        <v>1000</v>
      </c>
      <c r="H37" s="816"/>
      <c r="I37" s="816">
        <v>20</v>
      </c>
      <c r="J37" s="816"/>
      <c r="K37" s="816">
        <v>8</v>
      </c>
      <c r="L37" s="816"/>
      <c r="M37" s="819">
        <v>7</v>
      </c>
    </row>
    <row r="38" spans="1:14" s="820" customFormat="1">
      <c r="A38" s="795" t="s">
        <v>885</v>
      </c>
      <c r="B38" s="811"/>
      <c r="C38" s="813" t="s">
        <v>882</v>
      </c>
      <c r="D38" s="813"/>
      <c r="E38" s="814">
        <v>29</v>
      </c>
      <c r="F38" s="815"/>
      <c r="G38" s="816">
        <v>1000</v>
      </c>
      <c r="H38" s="816"/>
      <c r="I38" s="816">
        <v>40</v>
      </c>
      <c r="J38" s="816"/>
      <c r="K38" s="816">
        <v>8</v>
      </c>
      <c r="L38" s="816"/>
      <c r="M38" s="819">
        <v>4</v>
      </c>
      <c r="N38" s="821"/>
    </row>
    <row r="39" spans="1:14">
      <c r="A39" s="795" t="s">
        <v>886</v>
      </c>
      <c r="B39" s="811"/>
      <c r="C39" s="813" t="s">
        <v>882</v>
      </c>
      <c r="D39" s="813"/>
      <c r="E39" s="814">
        <v>14.99</v>
      </c>
      <c r="F39" s="815"/>
      <c r="G39" s="816">
        <v>1000</v>
      </c>
      <c r="H39" s="816"/>
      <c r="I39" s="816">
        <v>24</v>
      </c>
      <c r="J39" s="816"/>
      <c r="K39" s="816">
        <v>1</v>
      </c>
      <c r="L39" s="816"/>
      <c r="M39" s="819">
        <v>30</v>
      </c>
    </row>
    <row r="40" spans="1:14" ht="16" thickBot="1">
      <c r="A40" s="822" t="s">
        <v>992</v>
      </c>
      <c r="B40" s="823"/>
      <c r="C40" s="824" t="s">
        <v>884</v>
      </c>
      <c r="D40" s="824"/>
      <c r="E40" s="825">
        <v>0</v>
      </c>
      <c r="F40" s="826"/>
      <c r="G40" s="827">
        <v>0</v>
      </c>
      <c r="H40" s="827"/>
      <c r="I40" s="827">
        <v>0</v>
      </c>
      <c r="J40" s="827"/>
      <c r="K40" s="827">
        <v>0</v>
      </c>
      <c r="L40" s="827"/>
      <c r="M40" s="828">
        <v>0</v>
      </c>
    </row>
    <row r="41" spans="1:14" ht="16" thickBot="1">
      <c r="B41" s="757"/>
      <c r="C41" s="551"/>
      <c r="D41" s="551"/>
      <c r="E41" s="551"/>
      <c r="G41" s="792"/>
      <c r="H41" s="746"/>
      <c r="I41" s="746"/>
      <c r="L41" s="792"/>
      <c r="M41" s="746"/>
    </row>
    <row r="42" spans="1:14" ht="16" thickBot="1">
      <c r="A42" s="1161" t="s">
        <v>994</v>
      </c>
      <c r="B42" s="1162"/>
      <c r="C42" s="1162"/>
      <c r="D42" s="1162"/>
      <c r="E42" s="1162"/>
      <c r="F42" s="1162"/>
      <c r="G42" s="1162"/>
      <c r="H42" s="1162"/>
      <c r="I42" s="1162"/>
      <c r="J42" s="1162"/>
      <c r="K42" s="1162"/>
      <c r="L42" s="1162"/>
      <c r="M42" s="1163"/>
    </row>
    <row r="43" spans="1:14">
      <c r="A43" s="829"/>
      <c r="B43" s="830"/>
      <c r="C43" s="831"/>
      <c r="D43" s="830"/>
      <c r="E43" s="831"/>
      <c r="F43" s="832"/>
      <c r="G43" s="833"/>
      <c r="H43" s="834"/>
      <c r="I43" s="833"/>
      <c r="J43" s="834"/>
      <c r="K43" s="834"/>
      <c r="L43" s="833"/>
      <c r="M43" s="835"/>
    </row>
    <row r="44" spans="1:14">
      <c r="A44" s="829" t="s">
        <v>874</v>
      </c>
      <c r="B44" s="830"/>
      <c r="C44" s="831" t="s">
        <v>1026</v>
      </c>
      <c r="D44" s="830"/>
      <c r="E44" s="831"/>
      <c r="F44" s="832"/>
      <c r="G44" s="833"/>
      <c r="H44" s="834"/>
      <c r="I44" s="833"/>
      <c r="J44" s="834"/>
      <c r="K44" s="834"/>
      <c r="L44" s="833"/>
      <c r="M44" s="835"/>
    </row>
    <row r="45" spans="1:14">
      <c r="A45" s="829" t="s">
        <v>876</v>
      </c>
      <c r="B45" s="830"/>
      <c r="C45" s="836">
        <v>47270</v>
      </c>
      <c r="D45" s="830"/>
      <c r="E45" s="837"/>
      <c r="F45" s="832"/>
      <c r="G45" s="833"/>
      <c r="H45" s="834"/>
      <c r="I45" s="833"/>
      <c r="J45" s="838"/>
      <c r="K45" s="834"/>
      <c r="L45" s="833"/>
      <c r="M45" s="835"/>
    </row>
    <row r="46" spans="1:14" ht="16" thickBot="1">
      <c r="A46" s="829"/>
      <c r="B46" s="830"/>
      <c r="C46" s="831"/>
      <c r="D46" s="830"/>
      <c r="E46" s="831"/>
      <c r="F46" s="832"/>
      <c r="G46" s="833"/>
      <c r="H46" s="834"/>
      <c r="I46" s="833"/>
      <c r="J46" s="834"/>
      <c r="K46" s="834"/>
      <c r="L46" s="833"/>
      <c r="M46" s="835"/>
    </row>
    <row r="47" spans="1:14" ht="16" thickBot="1">
      <c r="A47" s="1161" t="s">
        <v>877</v>
      </c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3"/>
    </row>
    <row r="48" spans="1:14">
      <c r="A48" s="839" t="s">
        <v>878</v>
      </c>
      <c r="B48" s="840"/>
      <c r="C48" s="840" t="s">
        <v>879</v>
      </c>
      <c r="D48" s="840"/>
      <c r="E48" s="840" t="s">
        <v>880</v>
      </c>
      <c r="F48" s="841"/>
      <c r="G48" s="842" t="s">
        <v>881</v>
      </c>
      <c r="H48" s="843"/>
      <c r="I48" s="842" t="s">
        <v>515</v>
      </c>
      <c r="J48" s="843"/>
      <c r="K48" s="843" t="s">
        <v>516</v>
      </c>
      <c r="L48" s="842"/>
      <c r="M48" s="844" t="s">
        <v>517</v>
      </c>
    </row>
    <row r="49" spans="1:13" ht="16">
      <c r="A49" s="829" t="s">
        <v>169</v>
      </c>
      <c r="B49" s="845"/>
      <c r="C49" s="846" t="s">
        <v>882</v>
      </c>
      <c r="D49" s="847"/>
      <c r="E49" s="848">
        <v>199.99</v>
      </c>
      <c r="F49" s="849"/>
      <c r="G49" s="850">
        <v>2000</v>
      </c>
      <c r="H49" s="851"/>
      <c r="I49" s="850">
        <v>12</v>
      </c>
      <c r="J49" s="850"/>
      <c r="K49" s="850">
        <v>12</v>
      </c>
      <c r="L49" s="850"/>
      <c r="M49" s="852">
        <v>5</v>
      </c>
    </row>
    <row r="50" spans="1:13">
      <c r="A50" s="829" t="s">
        <v>883</v>
      </c>
      <c r="B50" s="845"/>
      <c r="C50" s="847" t="s">
        <v>882</v>
      </c>
      <c r="D50" s="847"/>
      <c r="E50" s="848">
        <v>49</v>
      </c>
      <c r="F50" s="849"/>
      <c r="G50" s="850">
        <v>1250</v>
      </c>
      <c r="H50" s="850"/>
      <c r="I50" s="850">
        <v>20</v>
      </c>
      <c r="J50" s="850"/>
      <c r="K50" s="850">
        <v>8</v>
      </c>
      <c r="L50" s="850"/>
      <c r="M50" s="853">
        <v>7</v>
      </c>
    </row>
    <row r="51" spans="1:13">
      <c r="A51" s="829" t="s">
        <v>885</v>
      </c>
      <c r="B51" s="845"/>
      <c r="C51" s="847" t="s">
        <v>882</v>
      </c>
      <c r="D51" s="847"/>
      <c r="E51" s="848">
        <v>29</v>
      </c>
      <c r="F51" s="849"/>
      <c r="G51" s="850">
        <v>1250</v>
      </c>
      <c r="H51" s="850"/>
      <c r="I51" s="850">
        <v>40</v>
      </c>
      <c r="J51" s="850"/>
      <c r="K51" s="850">
        <v>8</v>
      </c>
      <c r="L51" s="850"/>
      <c r="M51" s="853">
        <v>4</v>
      </c>
    </row>
    <row r="52" spans="1:13" s="619" customFormat="1">
      <c r="A52" s="829" t="s">
        <v>886</v>
      </c>
      <c r="B52" s="845"/>
      <c r="C52" s="847" t="s">
        <v>882</v>
      </c>
      <c r="D52" s="847"/>
      <c r="E52" s="848">
        <v>14.99</v>
      </c>
      <c r="F52" s="849"/>
      <c r="G52" s="850">
        <v>1250</v>
      </c>
      <c r="H52" s="850"/>
      <c r="I52" s="850">
        <v>24</v>
      </c>
      <c r="J52" s="850"/>
      <c r="K52" s="850">
        <v>1</v>
      </c>
      <c r="L52" s="850"/>
      <c r="M52" s="853">
        <v>30</v>
      </c>
    </row>
    <row r="53" spans="1:13" s="619" customFormat="1" ht="16" thickBot="1">
      <c r="A53" s="854" t="s">
        <v>992</v>
      </c>
      <c r="B53" s="855"/>
      <c r="C53" s="856" t="s">
        <v>884</v>
      </c>
      <c r="D53" s="856"/>
      <c r="E53" s="857">
        <v>0</v>
      </c>
      <c r="F53" s="858"/>
      <c r="G53" s="859">
        <v>0</v>
      </c>
      <c r="H53" s="859"/>
      <c r="I53" s="859">
        <v>0</v>
      </c>
      <c r="J53" s="859"/>
      <c r="K53" s="859">
        <v>0</v>
      </c>
      <c r="L53" s="859"/>
      <c r="M53" s="860">
        <v>0</v>
      </c>
    </row>
    <row r="54" spans="1:13" s="619" customFormat="1" ht="16" thickBot="1">
      <c r="A54" s="556"/>
      <c r="B54" s="791"/>
      <c r="C54" s="556"/>
      <c r="D54" s="791"/>
      <c r="E54" s="558"/>
      <c r="F54" s="745"/>
      <c r="G54" s="793"/>
      <c r="H54" s="747"/>
      <c r="I54" s="793"/>
      <c r="J54" s="747"/>
      <c r="K54" s="747"/>
      <c r="L54" s="793"/>
      <c r="M54" s="747"/>
    </row>
    <row r="55" spans="1:13" s="619" customFormat="1" ht="16" thickBot="1">
      <c r="A55" s="1148" t="s">
        <v>995</v>
      </c>
      <c r="B55" s="1149"/>
      <c r="C55" s="1149"/>
      <c r="D55" s="1149"/>
      <c r="E55" s="1149"/>
      <c r="F55" s="1149"/>
      <c r="G55" s="1149"/>
      <c r="H55" s="1149"/>
      <c r="I55" s="1149"/>
      <c r="J55" s="1149"/>
      <c r="K55" s="1149"/>
      <c r="L55" s="1149"/>
      <c r="M55" s="1150"/>
    </row>
    <row r="56" spans="1:13" s="619" customFormat="1">
      <c r="A56" s="861"/>
      <c r="B56" s="862"/>
      <c r="C56" s="863"/>
      <c r="D56" s="862"/>
      <c r="E56" s="863"/>
      <c r="F56" s="864"/>
      <c r="G56" s="865"/>
      <c r="H56" s="866"/>
      <c r="I56" s="865"/>
      <c r="J56" s="866"/>
      <c r="K56" s="866"/>
      <c r="L56" s="865"/>
      <c r="M56" s="867"/>
    </row>
    <row r="57" spans="1:13" s="619" customFormat="1">
      <c r="A57" s="861" t="s">
        <v>874</v>
      </c>
      <c r="B57" s="862"/>
      <c r="C57" s="863" t="s">
        <v>1027</v>
      </c>
      <c r="D57" s="862"/>
      <c r="E57" s="863"/>
      <c r="F57" s="864"/>
      <c r="G57" s="865"/>
      <c r="H57" s="866"/>
      <c r="I57" s="865"/>
      <c r="J57" s="866"/>
      <c r="K57" s="866"/>
      <c r="L57" s="865"/>
      <c r="M57" s="867"/>
    </row>
    <row r="58" spans="1:13" s="619" customFormat="1">
      <c r="A58" s="861" t="s">
        <v>876</v>
      </c>
      <c r="B58" s="862"/>
      <c r="C58" s="868">
        <v>47635</v>
      </c>
      <c r="D58" s="862"/>
      <c r="E58" s="869"/>
      <c r="F58" s="864"/>
      <c r="G58" s="865"/>
      <c r="H58" s="866"/>
      <c r="I58" s="865"/>
      <c r="J58" s="870"/>
      <c r="K58" s="866"/>
      <c r="L58" s="865"/>
      <c r="M58" s="867"/>
    </row>
    <row r="59" spans="1:13" s="619" customFormat="1" ht="16" thickBot="1">
      <c r="A59" s="861"/>
      <c r="B59" s="862"/>
      <c r="C59" s="863"/>
      <c r="D59" s="862"/>
      <c r="E59" s="863"/>
      <c r="F59" s="864"/>
      <c r="G59" s="865"/>
      <c r="H59" s="866"/>
      <c r="I59" s="865"/>
      <c r="J59" s="866"/>
      <c r="K59" s="866"/>
      <c r="L59" s="865"/>
      <c r="M59" s="867"/>
    </row>
    <row r="60" spans="1:13" s="619" customFormat="1" ht="16" thickBot="1">
      <c r="A60" s="1148" t="s">
        <v>877</v>
      </c>
      <c r="B60" s="1149"/>
      <c r="C60" s="1149"/>
      <c r="D60" s="1149"/>
      <c r="E60" s="1149"/>
      <c r="F60" s="1149"/>
      <c r="G60" s="1149"/>
      <c r="H60" s="1149"/>
      <c r="I60" s="1149"/>
      <c r="J60" s="1149"/>
      <c r="K60" s="1149"/>
      <c r="L60" s="1149"/>
      <c r="M60" s="1150"/>
    </row>
    <row r="61" spans="1:13" s="619" customFormat="1">
      <c r="A61" s="871" t="s">
        <v>878</v>
      </c>
      <c r="B61" s="872"/>
      <c r="C61" s="872" t="s">
        <v>879</v>
      </c>
      <c r="D61" s="872"/>
      <c r="E61" s="872" t="s">
        <v>880</v>
      </c>
      <c r="F61" s="873"/>
      <c r="G61" s="874" t="s">
        <v>881</v>
      </c>
      <c r="H61" s="875"/>
      <c r="I61" s="874" t="s">
        <v>515</v>
      </c>
      <c r="J61" s="875"/>
      <c r="K61" s="875" t="s">
        <v>516</v>
      </c>
      <c r="L61" s="874"/>
      <c r="M61" s="876" t="s">
        <v>517</v>
      </c>
    </row>
    <row r="62" spans="1:13" s="619" customFormat="1">
      <c r="A62" s="861" t="s">
        <v>169</v>
      </c>
      <c r="B62" s="877"/>
      <c r="C62" s="878" t="s">
        <v>882</v>
      </c>
      <c r="D62" s="878"/>
      <c r="E62" s="879">
        <v>199.99</v>
      </c>
      <c r="F62" s="880"/>
      <c r="G62" s="881">
        <v>2500</v>
      </c>
      <c r="H62" s="882"/>
      <c r="I62" s="881">
        <v>12</v>
      </c>
      <c r="J62" s="881"/>
      <c r="K62" s="881">
        <v>12</v>
      </c>
      <c r="L62" s="881"/>
      <c r="M62" s="883">
        <v>5</v>
      </c>
    </row>
    <row r="63" spans="1:13" s="619" customFormat="1">
      <c r="A63" s="861" t="s">
        <v>883</v>
      </c>
      <c r="B63" s="877"/>
      <c r="C63" s="878" t="s">
        <v>882</v>
      </c>
      <c r="D63" s="878"/>
      <c r="E63" s="879">
        <v>49</v>
      </c>
      <c r="F63" s="880"/>
      <c r="G63" s="881">
        <v>1500</v>
      </c>
      <c r="H63" s="881"/>
      <c r="I63" s="881">
        <v>20</v>
      </c>
      <c r="J63" s="881"/>
      <c r="K63" s="881">
        <v>8</v>
      </c>
      <c r="L63" s="881"/>
      <c r="M63" s="884">
        <v>7</v>
      </c>
    </row>
    <row r="64" spans="1:13" s="619" customFormat="1">
      <c r="A64" s="861" t="s">
        <v>885</v>
      </c>
      <c r="B64" s="877"/>
      <c r="C64" s="878" t="s">
        <v>882</v>
      </c>
      <c r="D64" s="878"/>
      <c r="E64" s="879">
        <v>29</v>
      </c>
      <c r="F64" s="880"/>
      <c r="G64" s="881">
        <v>1500</v>
      </c>
      <c r="H64" s="881"/>
      <c r="I64" s="881">
        <v>40</v>
      </c>
      <c r="J64" s="881"/>
      <c r="K64" s="881">
        <v>8</v>
      </c>
      <c r="L64" s="881"/>
      <c r="M64" s="884">
        <v>4</v>
      </c>
    </row>
    <row r="65" spans="1:13" s="619" customFormat="1">
      <c r="A65" s="861" t="s">
        <v>886</v>
      </c>
      <c r="B65" s="877"/>
      <c r="C65" s="878" t="s">
        <v>882</v>
      </c>
      <c r="D65" s="878"/>
      <c r="E65" s="879">
        <v>14.99</v>
      </c>
      <c r="F65" s="880"/>
      <c r="G65" s="881">
        <v>1500</v>
      </c>
      <c r="H65" s="881"/>
      <c r="I65" s="881">
        <v>24</v>
      </c>
      <c r="J65" s="881"/>
      <c r="K65" s="881">
        <v>1</v>
      </c>
      <c r="L65" s="881"/>
      <c r="M65" s="884">
        <v>30</v>
      </c>
    </row>
    <row r="66" spans="1:13" ht="16" thickBot="1">
      <c r="A66" s="886" t="s">
        <v>992</v>
      </c>
      <c r="B66" s="887"/>
      <c r="C66" s="888" t="s">
        <v>884</v>
      </c>
      <c r="D66" s="888"/>
      <c r="E66" s="889">
        <v>0</v>
      </c>
      <c r="F66" s="890"/>
      <c r="G66" s="891">
        <v>0</v>
      </c>
      <c r="H66" s="891"/>
      <c r="I66" s="891">
        <v>0</v>
      </c>
      <c r="J66" s="891"/>
      <c r="K66" s="891">
        <v>0</v>
      </c>
      <c r="L66" s="891"/>
      <c r="M66" s="892">
        <v>0</v>
      </c>
    </row>
    <row r="67" spans="1:13" ht="16" thickBot="1"/>
    <row r="68" spans="1:13" ht="16" thickBot="1">
      <c r="A68" s="1151" t="s">
        <v>996</v>
      </c>
      <c r="B68" s="1152"/>
      <c r="C68" s="1152"/>
      <c r="D68" s="1152"/>
      <c r="E68" s="1152"/>
      <c r="F68" s="1152"/>
      <c r="G68" s="1152"/>
      <c r="H68" s="1152"/>
      <c r="I68" s="1152"/>
      <c r="J68" s="1152"/>
      <c r="K68" s="1152"/>
      <c r="L68" s="1152"/>
      <c r="M68" s="1153"/>
    </row>
    <row r="69" spans="1:13">
      <c r="A69" s="893"/>
      <c r="B69" s="894"/>
      <c r="C69" s="895"/>
      <c r="D69" s="894"/>
      <c r="E69" s="895"/>
      <c r="F69" s="896"/>
      <c r="G69" s="897"/>
      <c r="H69" s="898"/>
      <c r="I69" s="897"/>
      <c r="J69" s="898"/>
      <c r="K69" s="898"/>
      <c r="L69" s="897"/>
      <c r="M69" s="899"/>
    </row>
    <row r="70" spans="1:13">
      <c r="A70" s="893" t="s">
        <v>874</v>
      </c>
      <c r="B70" s="894"/>
      <c r="C70" s="895" t="s">
        <v>1024</v>
      </c>
      <c r="D70" s="894"/>
      <c r="E70" s="895"/>
      <c r="F70" s="896"/>
      <c r="G70" s="897"/>
      <c r="H70" s="898"/>
      <c r="I70" s="897"/>
      <c r="J70" s="898"/>
      <c r="K70" s="898"/>
      <c r="L70" s="897"/>
      <c r="M70" s="899"/>
    </row>
    <row r="71" spans="1:13">
      <c r="A71" s="893" t="s">
        <v>876</v>
      </c>
      <c r="B71" s="894"/>
      <c r="C71" s="900" t="s">
        <v>1024</v>
      </c>
      <c r="D71" s="894"/>
      <c r="E71" s="901"/>
      <c r="F71" s="896"/>
      <c r="G71" s="897"/>
      <c r="H71" s="898"/>
      <c r="I71" s="897"/>
      <c r="J71" s="902"/>
      <c r="K71" s="898"/>
      <c r="L71" s="897"/>
      <c r="M71" s="899"/>
    </row>
    <row r="72" spans="1:13" ht="16" thickBot="1">
      <c r="A72" s="893"/>
      <c r="B72" s="894"/>
      <c r="C72" s="895"/>
      <c r="D72" s="894"/>
      <c r="E72" s="895"/>
      <c r="F72" s="896"/>
      <c r="G72" s="897"/>
      <c r="H72" s="898"/>
      <c r="I72" s="897"/>
      <c r="J72" s="898"/>
      <c r="K72" s="898"/>
      <c r="L72" s="897"/>
      <c r="M72" s="899"/>
    </row>
    <row r="73" spans="1:13" ht="16" thickBot="1">
      <c r="A73" s="1151" t="s">
        <v>877</v>
      </c>
      <c r="B73" s="1152"/>
      <c r="C73" s="1152"/>
      <c r="D73" s="1152"/>
      <c r="E73" s="1152"/>
      <c r="F73" s="1152"/>
      <c r="G73" s="1152"/>
      <c r="H73" s="1152"/>
      <c r="I73" s="1152"/>
      <c r="J73" s="1152"/>
      <c r="K73" s="1152"/>
      <c r="L73" s="1152"/>
      <c r="M73" s="1153"/>
    </row>
    <row r="74" spans="1:13">
      <c r="A74" s="903" t="s">
        <v>878</v>
      </c>
      <c r="B74" s="904"/>
      <c r="C74" s="904" t="s">
        <v>879</v>
      </c>
      <c r="D74" s="904"/>
      <c r="E74" s="904" t="s">
        <v>880</v>
      </c>
      <c r="F74" s="905"/>
      <c r="G74" s="906" t="s">
        <v>881</v>
      </c>
      <c r="H74" s="907"/>
      <c r="I74" s="906" t="s">
        <v>515</v>
      </c>
      <c r="J74" s="907"/>
      <c r="K74" s="907" t="s">
        <v>516</v>
      </c>
      <c r="L74" s="906"/>
      <c r="M74" s="908" t="s">
        <v>517</v>
      </c>
    </row>
    <row r="75" spans="1:13">
      <c r="A75" s="893" t="s">
        <v>169</v>
      </c>
      <c r="B75" s="909"/>
      <c r="C75" s="910" t="s">
        <v>884</v>
      </c>
      <c r="D75" s="910"/>
      <c r="E75" s="911">
        <v>0</v>
      </c>
      <c r="F75" s="912"/>
      <c r="G75" s="913">
        <v>0</v>
      </c>
      <c r="H75" s="914"/>
      <c r="I75" s="913">
        <v>0</v>
      </c>
      <c r="J75" s="913"/>
      <c r="K75" s="913">
        <v>0</v>
      </c>
      <c r="L75" s="913"/>
      <c r="M75" s="915">
        <v>0</v>
      </c>
    </row>
    <row r="76" spans="1:13">
      <c r="A76" s="893" t="s">
        <v>883</v>
      </c>
      <c r="B76" s="909"/>
      <c r="C76" s="910" t="s">
        <v>882</v>
      </c>
      <c r="D76" s="910"/>
      <c r="E76" s="911">
        <v>0</v>
      </c>
      <c r="F76" s="912"/>
      <c r="G76" s="913">
        <v>0</v>
      </c>
      <c r="H76" s="913"/>
      <c r="I76" s="913">
        <v>0</v>
      </c>
      <c r="J76" s="913"/>
      <c r="K76" s="913">
        <v>0</v>
      </c>
      <c r="L76" s="913"/>
      <c r="M76" s="916">
        <v>0</v>
      </c>
    </row>
    <row r="77" spans="1:13">
      <c r="A77" s="893" t="s">
        <v>885</v>
      </c>
      <c r="B77" s="909"/>
      <c r="C77" s="910" t="s">
        <v>882</v>
      </c>
      <c r="D77" s="910"/>
      <c r="E77" s="911">
        <v>0</v>
      </c>
      <c r="F77" s="912"/>
      <c r="G77" s="913">
        <v>0</v>
      </c>
      <c r="H77" s="913"/>
      <c r="I77" s="913">
        <v>0</v>
      </c>
      <c r="J77" s="913"/>
      <c r="K77" s="913">
        <v>0</v>
      </c>
      <c r="L77" s="913"/>
      <c r="M77" s="916">
        <v>0</v>
      </c>
    </row>
    <row r="78" spans="1:13">
      <c r="A78" s="893" t="s">
        <v>886</v>
      </c>
      <c r="B78" s="909"/>
      <c r="C78" s="910" t="s">
        <v>884</v>
      </c>
      <c r="D78" s="910"/>
      <c r="E78" s="911">
        <v>0</v>
      </c>
      <c r="F78" s="912"/>
      <c r="G78" s="913">
        <v>0</v>
      </c>
      <c r="H78" s="913"/>
      <c r="I78" s="913">
        <v>0</v>
      </c>
      <c r="J78" s="913"/>
      <c r="K78" s="913">
        <v>0</v>
      </c>
      <c r="L78" s="913"/>
      <c r="M78" s="916">
        <v>0</v>
      </c>
    </row>
    <row r="79" spans="1:13" ht="16" thickBot="1">
      <c r="A79" s="917" t="s">
        <v>992</v>
      </c>
      <c r="B79" s="918"/>
      <c r="C79" s="919" t="s">
        <v>882</v>
      </c>
      <c r="D79" s="919"/>
      <c r="E79" s="920">
        <v>0</v>
      </c>
      <c r="F79" s="921"/>
      <c r="G79" s="922">
        <v>0</v>
      </c>
      <c r="H79" s="922"/>
      <c r="I79" s="922">
        <v>0</v>
      </c>
      <c r="J79" s="922"/>
      <c r="K79" s="922">
        <v>0</v>
      </c>
      <c r="L79" s="922"/>
      <c r="M79" s="923">
        <v>0</v>
      </c>
    </row>
    <row r="80" spans="1:13" ht="16" thickBot="1"/>
    <row r="81" spans="1:13" ht="16" thickBot="1">
      <c r="A81" s="1145" t="s">
        <v>997</v>
      </c>
      <c r="B81" s="1146"/>
      <c r="C81" s="1146"/>
      <c r="D81" s="1146"/>
      <c r="E81" s="1146"/>
      <c r="F81" s="1146"/>
      <c r="G81" s="1146"/>
      <c r="H81" s="1146"/>
      <c r="I81" s="1146"/>
      <c r="J81" s="1146"/>
      <c r="K81" s="1146"/>
      <c r="L81" s="1146"/>
      <c r="M81" s="1147"/>
    </row>
    <row r="82" spans="1:13">
      <c r="A82" s="924"/>
      <c r="B82" s="925"/>
      <c r="C82" s="926"/>
      <c r="D82" s="925"/>
      <c r="E82" s="926"/>
      <c r="F82" s="927"/>
      <c r="G82" s="928"/>
      <c r="H82" s="929"/>
      <c r="I82" s="928"/>
      <c r="J82" s="929"/>
      <c r="K82" s="929"/>
      <c r="L82" s="928"/>
      <c r="M82" s="930"/>
    </row>
    <row r="83" spans="1:13">
      <c r="A83" s="924" t="s">
        <v>874</v>
      </c>
      <c r="B83" s="925"/>
      <c r="C83" s="926" t="s">
        <v>1024</v>
      </c>
      <c r="D83" s="925"/>
      <c r="E83" s="926"/>
      <c r="F83" s="927"/>
      <c r="G83" s="928"/>
      <c r="H83" s="929"/>
      <c r="I83" s="928"/>
      <c r="J83" s="929"/>
      <c r="K83" s="929"/>
      <c r="L83" s="928"/>
      <c r="M83" s="930"/>
    </row>
    <row r="84" spans="1:13">
      <c r="A84" s="924" t="s">
        <v>876</v>
      </c>
      <c r="B84" s="925"/>
      <c r="C84" s="931" t="s">
        <v>1024</v>
      </c>
      <c r="D84" s="925"/>
      <c r="E84" s="932"/>
      <c r="F84" s="927"/>
      <c r="G84" s="928"/>
      <c r="H84" s="929"/>
      <c r="I84" s="928"/>
      <c r="J84" s="933"/>
      <c r="K84" s="929"/>
      <c r="L84" s="928"/>
      <c r="M84" s="930"/>
    </row>
    <row r="85" spans="1:13" ht="16" thickBot="1">
      <c r="A85" s="924"/>
      <c r="B85" s="925"/>
      <c r="C85" s="926"/>
      <c r="D85" s="925"/>
      <c r="E85" s="926"/>
      <c r="F85" s="927"/>
      <c r="G85" s="928"/>
      <c r="H85" s="929"/>
      <c r="I85" s="928"/>
      <c r="J85" s="929"/>
      <c r="K85" s="929"/>
      <c r="L85" s="928"/>
      <c r="M85" s="930"/>
    </row>
    <row r="86" spans="1:13" ht="16" thickBot="1">
      <c r="A86" s="1145" t="s">
        <v>877</v>
      </c>
      <c r="B86" s="1146"/>
      <c r="C86" s="1146"/>
      <c r="D86" s="1146"/>
      <c r="E86" s="1146"/>
      <c r="F86" s="1146"/>
      <c r="G86" s="1146"/>
      <c r="H86" s="1146"/>
      <c r="I86" s="1146"/>
      <c r="J86" s="1146"/>
      <c r="K86" s="1146"/>
      <c r="L86" s="1146"/>
      <c r="M86" s="1147"/>
    </row>
    <row r="87" spans="1:13">
      <c r="A87" s="934" t="s">
        <v>878</v>
      </c>
      <c r="B87" s="935"/>
      <c r="C87" s="935" t="s">
        <v>879</v>
      </c>
      <c r="D87" s="935"/>
      <c r="E87" s="935" t="s">
        <v>880</v>
      </c>
      <c r="F87" s="936"/>
      <c r="G87" s="937" t="s">
        <v>881</v>
      </c>
      <c r="H87" s="938"/>
      <c r="I87" s="937" t="s">
        <v>515</v>
      </c>
      <c r="J87" s="938"/>
      <c r="K87" s="938" t="s">
        <v>516</v>
      </c>
      <c r="L87" s="937"/>
      <c r="M87" s="939" t="s">
        <v>517</v>
      </c>
    </row>
    <row r="88" spans="1:13">
      <c r="A88" s="924" t="s">
        <v>169</v>
      </c>
      <c r="B88" s="940"/>
      <c r="C88" s="941" t="s">
        <v>884</v>
      </c>
      <c r="D88" s="941"/>
      <c r="E88" s="942">
        <v>0</v>
      </c>
      <c r="F88" s="943"/>
      <c r="G88" s="944">
        <v>0</v>
      </c>
      <c r="H88" s="945"/>
      <c r="I88" s="944">
        <v>0</v>
      </c>
      <c r="J88" s="944"/>
      <c r="K88" s="944">
        <v>0</v>
      </c>
      <c r="L88" s="944"/>
      <c r="M88" s="946">
        <v>0</v>
      </c>
    </row>
    <row r="89" spans="1:13">
      <c r="A89" s="924" t="s">
        <v>883</v>
      </c>
      <c r="B89" s="940"/>
      <c r="C89" s="941" t="s">
        <v>882</v>
      </c>
      <c r="D89" s="941"/>
      <c r="E89" s="942">
        <v>0</v>
      </c>
      <c r="F89" s="943"/>
      <c r="G89" s="944">
        <v>0</v>
      </c>
      <c r="H89" s="944"/>
      <c r="I89" s="944">
        <v>0</v>
      </c>
      <c r="J89" s="944"/>
      <c r="K89" s="944">
        <v>0</v>
      </c>
      <c r="L89" s="944"/>
      <c r="M89" s="947">
        <v>0</v>
      </c>
    </row>
    <row r="90" spans="1:13">
      <c r="A90" s="924" t="s">
        <v>885</v>
      </c>
      <c r="B90" s="940"/>
      <c r="C90" s="941" t="s">
        <v>882</v>
      </c>
      <c r="D90" s="941"/>
      <c r="E90" s="942">
        <v>0</v>
      </c>
      <c r="F90" s="943"/>
      <c r="G90" s="944">
        <v>0</v>
      </c>
      <c r="H90" s="944"/>
      <c r="I90" s="944">
        <v>0</v>
      </c>
      <c r="J90" s="944"/>
      <c r="K90" s="944">
        <v>0</v>
      </c>
      <c r="L90" s="944"/>
      <c r="M90" s="947">
        <v>0</v>
      </c>
    </row>
    <row r="91" spans="1:13">
      <c r="A91" s="924" t="s">
        <v>886</v>
      </c>
      <c r="B91" s="940"/>
      <c r="C91" s="941" t="s">
        <v>884</v>
      </c>
      <c r="D91" s="941"/>
      <c r="E91" s="942">
        <v>0</v>
      </c>
      <c r="F91" s="943"/>
      <c r="G91" s="944">
        <v>0</v>
      </c>
      <c r="H91" s="944"/>
      <c r="I91" s="944">
        <v>0</v>
      </c>
      <c r="J91" s="944"/>
      <c r="K91" s="944">
        <v>0</v>
      </c>
      <c r="L91" s="944"/>
      <c r="M91" s="947">
        <v>0</v>
      </c>
    </row>
    <row r="92" spans="1:13" ht="16" thickBot="1">
      <c r="A92" s="948" t="s">
        <v>992</v>
      </c>
      <c r="B92" s="949"/>
      <c r="C92" s="950" t="s">
        <v>882</v>
      </c>
      <c r="D92" s="950"/>
      <c r="E92" s="951">
        <v>0</v>
      </c>
      <c r="F92" s="952"/>
      <c r="G92" s="953">
        <v>0</v>
      </c>
      <c r="H92" s="953"/>
      <c r="I92" s="953">
        <v>0</v>
      </c>
      <c r="J92" s="953"/>
      <c r="K92" s="953">
        <v>0</v>
      </c>
      <c r="L92" s="953"/>
      <c r="M92" s="954">
        <v>0</v>
      </c>
    </row>
    <row r="93" spans="1:13" ht="16" thickBot="1"/>
    <row r="94" spans="1:13" ht="16" thickBot="1">
      <c r="A94" s="1148" t="s">
        <v>554</v>
      </c>
      <c r="B94" s="1149"/>
      <c r="C94" s="1149"/>
      <c r="D94" s="1149"/>
      <c r="E94" s="1149"/>
      <c r="F94" s="1149"/>
      <c r="G94" s="1149"/>
      <c r="H94" s="1149"/>
      <c r="I94" s="1149"/>
      <c r="J94" s="1149"/>
      <c r="K94" s="1149"/>
      <c r="L94" s="1149"/>
      <c r="M94" s="1150"/>
    </row>
    <row r="95" spans="1:13">
      <c r="A95" s="861"/>
      <c r="B95" s="862"/>
      <c r="C95" s="863"/>
      <c r="D95" s="862"/>
      <c r="E95" s="863"/>
      <c r="F95" s="864"/>
      <c r="G95" s="865"/>
      <c r="H95" s="866"/>
      <c r="I95" s="865"/>
      <c r="J95" s="866"/>
      <c r="K95" s="866"/>
      <c r="L95" s="865"/>
      <c r="M95" s="867"/>
    </row>
    <row r="96" spans="1:13">
      <c r="A96" s="861" t="s">
        <v>874</v>
      </c>
      <c r="B96" s="862"/>
      <c r="C96" s="863"/>
      <c r="D96" s="862"/>
      <c r="E96" s="863"/>
      <c r="F96" s="864"/>
      <c r="G96" s="865"/>
      <c r="H96" s="866"/>
      <c r="I96" s="865"/>
      <c r="J96" s="866"/>
      <c r="K96" s="866"/>
      <c r="L96" s="865"/>
      <c r="M96" s="867"/>
    </row>
    <row r="97" spans="1:13">
      <c r="A97" s="861" t="s">
        <v>876</v>
      </c>
      <c r="B97" s="862"/>
      <c r="C97" s="868"/>
      <c r="D97" s="862"/>
      <c r="E97" s="869"/>
      <c r="F97" s="864"/>
      <c r="G97" s="865"/>
      <c r="H97" s="866"/>
      <c r="I97" s="865"/>
      <c r="J97" s="870"/>
      <c r="K97" s="866"/>
      <c r="L97" s="865"/>
      <c r="M97" s="867"/>
    </row>
    <row r="98" spans="1:13" ht="16" thickBot="1">
      <c r="A98" s="861"/>
      <c r="B98" s="862"/>
      <c r="C98" s="863"/>
      <c r="D98" s="862"/>
      <c r="E98" s="863"/>
      <c r="F98" s="864"/>
      <c r="G98" s="865"/>
      <c r="H98" s="866"/>
      <c r="I98" s="865"/>
      <c r="J98" s="866"/>
      <c r="K98" s="866"/>
      <c r="L98" s="865"/>
      <c r="M98" s="867"/>
    </row>
    <row r="99" spans="1:13" ht="16" thickBot="1">
      <c r="A99" s="1148" t="s">
        <v>877</v>
      </c>
      <c r="B99" s="1149"/>
      <c r="C99" s="1149"/>
      <c r="D99" s="1149"/>
      <c r="E99" s="1149"/>
      <c r="F99" s="1149"/>
      <c r="G99" s="1149"/>
      <c r="H99" s="1149"/>
      <c r="I99" s="1149"/>
      <c r="J99" s="1149"/>
      <c r="K99" s="1149"/>
      <c r="L99" s="1149"/>
      <c r="M99" s="1150"/>
    </row>
    <row r="100" spans="1:13">
      <c r="A100" s="871" t="s">
        <v>878</v>
      </c>
      <c r="B100" s="872"/>
      <c r="C100" s="872" t="s">
        <v>879</v>
      </c>
      <c r="D100" s="872"/>
      <c r="E100" s="872" t="s">
        <v>880</v>
      </c>
      <c r="F100" s="873"/>
      <c r="G100" s="874" t="s">
        <v>881</v>
      </c>
      <c r="H100" s="875"/>
      <c r="I100" s="874" t="s">
        <v>515</v>
      </c>
      <c r="J100" s="875"/>
      <c r="K100" s="875" t="s">
        <v>516</v>
      </c>
      <c r="L100" s="874"/>
      <c r="M100" s="876" t="s">
        <v>517</v>
      </c>
    </row>
    <row r="101" spans="1:13">
      <c r="A101" s="861" t="s">
        <v>169</v>
      </c>
      <c r="B101" s="877"/>
      <c r="C101" s="878" t="s">
        <v>882</v>
      </c>
      <c r="D101" s="878"/>
      <c r="E101" s="879"/>
      <c r="F101" s="880"/>
      <c r="G101" s="881"/>
      <c r="H101" s="882"/>
      <c r="I101" s="881"/>
      <c r="J101" s="881"/>
      <c r="K101" s="881"/>
      <c r="L101" s="881"/>
      <c r="M101" s="883"/>
    </row>
    <row r="102" spans="1:13">
      <c r="A102" s="861" t="s">
        <v>883</v>
      </c>
      <c r="B102" s="877"/>
      <c r="C102" s="878" t="s">
        <v>884</v>
      </c>
      <c r="D102" s="878"/>
      <c r="E102" s="879"/>
      <c r="F102" s="880"/>
      <c r="G102" s="881"/>
      <c r="H102" s="881"/>
      <c r="I102" s="881"/>
      <c r="J102" s="881"/>
      <c r="K102" s="881"/>
      <c r="L102" s="881"/>
      <c r="M102" s="884"/>
    </row>
    <row r="103" spans="1:13">
      <c r="A103" s="861" t="s">
        <v>885</v>
      </c>
      <c r="B103" s="877"/>
      <c r="C103" s="878" t="s">
        <v>882</v>
      </c>
      <c r="D103" s="878"/>
      <c r="E103" s="879"/>
      <c r="F103" s="880"/>
      <c r="G103" s="881"/>
      <c r="H103" s="881"/>
      <c r="I103" s="881"/>
      <c r="J103" s="881"/>
      <c r="K103" s="881"/>
      <c r="L103" s="881"/>
      <c r="M103" s="884"/>
    </row>
    <row r="104" spans="1:13">
      <c r="A104" s="861" t="s">
        <v>886</v>
      </c>
      <c r="B104" s="877"/>
      <c r="C104" s="878" t="s">
        <v>882</v>
      </c>
      <c r="D104" s="878"/>
      <c r="E104" s="879"/>
      <c r="F104" s="880"/>
      <c r="G104" s="881"/>
      <c r="H104" s="881"/>
      <c r="I104" s="881"/>
      <c r="J104" s="881"/>
      <c r="K104" s="881"/>
      <c r="L104" s="881"/>
      <c r="M104" s="884"/>
    </row>
    <row r="105" spans="1:13" ht="16" thickBot="1">
      <c r="A105" s="886" t="s">
        <v>992</v>
      </c>
      <c r="B105" s="887"/>
      <c r="C105" s="888" t="s">
        <v>882</v>
      </c>
      <c r="D105" s="888"/>
      <c r="E105" s="889"/>
      <c r="F105" s="890"/>
      <c r="G105" s="891"/>
      <c r="H105" s="891"/>
      <c r="I105" s="891"/>
      <c r="J105" s="891"/>
      <c r="K105" s="891"/>
      <c r="L105" s="891"/>
      <c r="M105" s="892"/>
    </row>
    <row r="106" spans="1:13" ht="16" thickBot="1"/>
    <row r="107" spans="1:13" ht="16" thickBot="1">
      <c r="A107" s="1151" t="s">
        <v>555</v>
      </c>
      <c r="B107" s="1152"/>
      <c r="C107" s="1152"/>
      <c r="D107" s="1152"/>
      <c r="E107" s="1152"/>
      <c r="F107" s="1152"/>
      <c r="G107" s="1152"/>
      <c r="H107" s="1152"/>
      <c r="I107" s="1152"/>
      <c r="J107" s="1152"/>
      <c r="K107" s="1152"/>
      <c r="L107" s="1152"/>
      <c r="M107" s="1153"/>
    </row>
    <row r="108" spans="1:13">
      <c r="A108" s="893"/>
      <c r="B108" s="894"/>
      <c r="C108" s="895"/>
      <c r="D108" s="894"/>
      <c r="E108" s="895"/>
      <c r="F108" s="896"/>
      <c r="G108" s="897"/>
      <c r="H108" s="898"/>
      <c r="I108" s="897"/>
      <c r="J108" s="898"/>
      <c r="K108" s="898"/>
      <c r="L108" s="897"/>
      <c r="M108" s="899"/>
    </row>
    <row r="109" spans="1:13">
      <c r="A109" s="893" t="s">
        <v>874</v>
      </c>
      <c r="B109" s="894"/>
      <c r="C109" s="895"/>
      <c r="D109" s="894"/>
      <c r="E109" s="895"/>
      <c r="F109" s="896"/>
      <c r="G109" s="897"/>
      <c r="H109" s="898"/>
      <c r="I109" s="897"/>
      <c r="J109" s="898"/>
      <c r="K109" s="898"/>
      <c r="L109" s="897"/>
      <c r="M109" s="899"/>
    </row>
    <row r="110" spans="1:13">
      <c r="A110" s="893" t="s">
        <v>876</v>
      </c>
      <c r="B110" s="894"/>
      <c r="C110" s="900"/>
      <c r="D110" s="894"/>
      <c r="E110" s="901"/>
      <c r="F110" s="896"/>
      <c r="G110" s="897"/>
      <c r="H110" s="898"/>
      <c r="I110" s="897"/>
      <c r="J110" s="902"/>
      <c r="K110" s="898"/>
      <c r="L110" s="897"/>
      <c r="M110" s="899"/>
    </row>
    <row r="111" spans="1:13" ht="16" thickBot="1">
      <c r="A111" s="893"/>
      <c r="B111" s="894"/>
      <c r="C111" s="895"/>
      <c r="D111" s="894"/>
      <c r="E111" s="895"/>
      <c r="F111" s="896"/>
      <c r="G111" s="897"/>
      <c r="H111" s="898"/>
      <c r="I111" s="897"/>
      <c r="J111" s="898"/>
      <c r="K111" s="898"/>
      <c r="L111" s="897"/>
      <c r="M111" s="899"/>
    </row>
    <row r="112" spans="1:13" ht="16" thickBot="1">
      <c r="A112" s="1151" t="s">
        <v>877</v>
      </c>
      <c r="B112" s="1152"/>
      <c r="C112" s="1152"/>
      <c r="D112" s="1152"/>
      <c r="E112" s="1152"/>
      <c r="F112" s="1152"/>
      <c r="G112" s="1152"/>
      <c r="H112" s="1152"/>
      <c r="I112" s="1152"/>
      <c r="J112" s="1152"/>
      <c r="K112" s="1152"/>
      <c r="L112" s="1152"/>
      <c r="M112" s="1153"/>
    </row>
    <row r="113" spans="1:13">
      <c r="A113" s="903" t="s">
        <v>878</v>
      </c>
      <c r="B113" s="904"/>
      <c r="C113" s="904" t="s">
        <v>879</v>
      </c>
      <c r="D113" s="904"/>
      <c r="E113" s="904" t="s">
        <v>880</v>
      </c>
      <c r="F113" s="905"/>
      <c r="G113" s="906" t="s">
        <v>881</v>
      </c>
      <c r="H113" s="907"/>
      <c r="I113" s="906" t="s">
        <v>515</v>
      </c>
      <c r="J113" s="907"/>
      <c r="K113" s="907" t="s">
        <v>516</v>
      </c>
      <c r="L113" s="906"/>
      <c r="M113" s="908" t="s">
        <v>517</v>
      </c>
    </row>
    <row r="114" spans="1:13">
      <c r="A114" s="893" t="s">
        <v>169</v>
      </c>
      <c r="B114" s="909"/>
      <c r="C114" s="910" t="s">
        <v>882</v>
      </c>
      <c r="D114" s="910"/>
      <c r="E114" s="911"/>
      <c r="F114" s="912"/>
      <c r="G114" s="913"/>
      <c r="H114" s="914"/>
      <c r="I114" s="913"/>
      <c r="J114" s="913"/>
      <c r="K114" s="913"/>
      <c r="L114" s="913"/>
      <c r="M114" s="915"/>
    </row>
    <row r="115" spans="1:13">
      <c r="A115" s="893" t="s">
        <v>883</v>
      </c>
      <c r="B115" s="909"/>
      <c r="C115" s="910" t="s">
        <v>882</v>
      </c>
      <c r="D115" s="910"/>
      <c r="E115" s="911"/>
      <c r="F115" s="912"/>
      <c r="G115" s="913"/>
      <c r="H115" s="913"/>
      <c r="I115" s="913"/>
      <c r="J115" s="913"/>
      <c r="K115" s="913"/>
      <c r="L115" s="913"/>
      <c r="M115" s="916"/>
    </row>
    <row r="116" spans="1:13">
      <c r="A116" s="893" t="s">
        <v>885</v>
      </c>
      <c r="B116" s="909"/>
      <c r="C116" s="910" t="s">
        <v>882</v>
      </c>
      <c r="D116" s="910"/>
      <c r="E116" s="911"/>
      <c r="F116" s="912"/>
      <c r="G116" s="913"/>
      <c r="H116" s="913"/>
      <c r="I116" s="913"/>
      <c r="J116" s="913"/>
      <c r="K116" s="913"/>
      <c r="L116" s="913"/>
      <c r="M116" s="916"/>
    </row>
    <row r="117" spans="1:13">
      <c r="A117" s="893" t="s">
        <v>886</v>
      </c>
      <c r="B117" s="909"/>
      <c r="C117" s="910" t="s">
        <v>882</v>
      </c>
      <c r="D117" s="910"/>
      <c r="E117" s="911"/>
      <c r="F117" s="912"/>
      <c r="G117" s="913"/>
      <c r="H117" s="913"/>
      <c r="I117" s="913"/>
      <c r="J117" s="913"/>
      <c r="K117" s="913"/>
      <c r="L117" s="913"/>
      <c r="M117" s="916"/>
    </row>
    <row r="118" spans="1:13" ht="16" thickBot="1">
      <c r="A118" s="917" t="s">
        <v>992</v>
      </c>
      <c r="B118" s="918"/>
      <c r="C118" s="919" t="s">
        <v>882</v>
      </c>
      <c r="D118" s="919"/>
      <c r="E118" s="920"/>
      <c r="F118" s="921"/>
      <c r="G118" s="922"/>
      <c r="H118" s="922"/>
      <c r="I118" s="922"/>
      <c r="J118" s="922"/>
      <c r="K118" s="922"/>
      <c r="L118" s="922"/>
      <c r="M118" s="923"/>
    </row>
    <row r="119" spans="1:13" ht="16" thickBot="1"/>
    <row r="120" spans="1:13" ht="16" thickBot="1">
      <c r="A120" s="1145" t="s">
        <v>556</v>
      </c>
      <c r="B120" s="1146"/>
      <c r="C120" s="1146"/>
      <c r="D120" s="1146"/>
      <c r="E120" s="1146"/>
      <c r="F120" s="1146"/>
      <c r="G120" s="1146"/>
      <c r="H120" s="1146"/>
      <c r="I120" s="1146"/>
      <c r="J120" s="1146"/>
      <c r="K120" s="1146"/>
      <c r="L120" s="1146"/>
      <c r="M120" s="1147"/>
    </row>
    <row r="121" spans="1:13">
      <c r="A121" s="924"/>
      <c r="B121" s="925"/>
      <c r="C121" s="926"/>
      <c r="D121" s="925"/>
      <c r="E121" s="926"/>
      <c r="F121" s="927"/>
      <c r="G121" s="928"/>
      <c r="H121" s="929"/>
      <c r="I121" s="928"/>
      <c r="J121" s="929"/>
      <c r="K121" s="929"/>
      <c r="L121" s="928"/>
      <c r="M121" s="930"/>
    </row>
    <row r="122" spans="1:13">
      <c r="A122" s="924" t="s">
        <v>874</v>
      </c>
      <c r="B122" s="925"/>
      <c r="C122" s="926"/>
      <c r="D122" s="925"/>
      <c r="E122" s="926"/>
      <c r="F122" s="927"/>
      <c r="G122" s="928"/>
      <c r="H122" s="929"/>
      <c r="I122" s="928"/>
      <c r="J122" s="929"/>
      <c r="K122" s="929"/>
      <c r="L122" s="928"/>
      <c r="M122" s="930"/>
    </row>
    <row r="123" spans="1:13">
      <c r="A123" s="924" t="s">
        <v>876</v>
      </c>
      <c r="B123" s="925"/>
      <c r="C123" s="931"/>
      <c r="D123" s="925"/>
      <c r="E123" s="932"/>
      <c r="F123" s="927"/>
      <c r="G123" s="928"/>
      <c r="H123" s="929"/>
      <c r="I123" s="928"/>
      <c r="J123" s="933"/>
      <c r="K123" s="929"/>
      <c r="L123" s="928"/>
      <c r="M123" s="930"/>
    </row>
    <row r="124" spans="1:13" ht="16" thickBot="1">
      <c r="A124" s="924"/>
      <c r="B124" s="925"/>
      <c r="C124" s="926"/>
      <c r="D124" s="925"/>
      <c r="E124" s="926"/>
      <c r="F124" s="927"/>
      <c r="G124" s="928"/>
      <c r="H124" s="929"/>
      <c r="I124" s="928"/>
      <c r="J124" s="929"/>
      <c r="K124" s="929"/>
      <c r="L124" s="928"/>
      <c r="M124" s="930"/>
    </row>
    <row r="125" spans="1:13" ht="16" thickBot="1">
      <c r="A125" s="1145" t="s">
        <v>877</v>
      </c>
      <c r="B125" s="1146"/>
      <c r="C125" s="1146"/>
      <c r="D125" s="1146"/>
      <c r="E125" s="1146"/>
      <c r="F125" s="1146"/>
      <c r="G125" s="1146"/>
      <c r="H125" s="1146"/>
      <c r="I125" s="1146"/>
      <c r="J125" s="1146"/>
      <c r="K125" s="1146"/>
      <c r="L125" s="1146"/>
      <c r="M125" s="1147"/>
    </row>
    <row r="126" spans="1:13">
      <c r="A126" s="934" t="s">
        <v>878</v>
      </c>
      <c r="B126" s="935"/>
      <c r="C126" s="935" t="s">
        <v>879</v>
      </c>
      <c r="D126" s="935"/>
      <c r="E126" s="935" t="s">
        <v>880</v>
      </c>
      <c r="F126" s="936"/>
      <c r="G126" s="937" t="s">
        <v>881</v>
      </c>
      <c r="H126" s="938"/>
      <c r="I126" s="937" t="s">
        <v>515</v>
      </c>
      <c r="J126" s="938"/>
      <c r="K126" s="938" t="s">
        <v>516</v>
      </c>
      <c r="L126" s="937"/>
      <c r="M126" s="939" t="s">
        <v>517</v>
      </c>
    </row>
    <row r="127" spans="1:13">
      <c r="A127" s="924" t="s">
        <v>169</v>
      </c>
      <c r="B127" s="940"/>
      <c r="C127" s="941" t="s">
        <v>882</v>
      </c>
      <c r="D127" s="941"/>
      <c r="E127" s="942"/>
      <c r="F127" s="943"/>
      <c r="G127" s="944"/>
      <c r="H127" s="945"/>
      <c r="I127" s="944"/>
      <c r="J127" s="944"/>
      <c r="K127" s="944"/>
      <c r="L127" s="944"/>
      <c r="M127" s="946"/>
    </row>
    <row r="128" spans="1:13">
      <c r="A128" s="924" t="s">
        <v>883</v>
      </c>
      <c r="B128" s="940"/>
      <c r="C128" s="941" t="s">
        <v>884</v>
      </c>
      <c r="D128" s="941"/>
      <c r="E128" s="942"/>
      <c r="F128" s="943"/>
      <c r="G128" s="944"/>
      <c r="H128" s="944"/>
      <c r="I128" s="944"/>
      <c r="J128" s="944"/>
      <c r="K128" s="944"/>
      <c r="L128" s="944"/>
      <c r="M128" s="947"/>
    </row>
    <row r="129" spans="1:13">
      <c r="A129" s="924" t="s">
        <v>885</v>
      </c>
      <c r="B129" s="940"/>
      <c r="C129" s="941" t="s">
        <v>884</v>
      </c>
      <c r="D129" s="941"/>
      <c r="E129" s="942"/>
      <c r="F129" s="943"/>
      <c r="G129" s="944"/>
      <c r="H129" s="944"/>
      <c r="I129" s="944"/>
      <c r="J129" s="944"/>
      <c r="K129" s="944"/>
      <c r="L129" s="944"/>
      <c r="M129" s="947"/>
    </row>
    <row r="130" spans="1:13">
      <c r="A130" s="924" t="s">
        <v>886</v>
      </c>
      <c r="B130" s="940"/>
      <c r="C130" s="941" t="s">
        <v>884</v>
      </c>
      <c r="D130" s="941"/>
      <c r="E130" s="942"/>
      <c r="F130" s="943"/>
      <c r="G130" s="944"/>
      <c r="H130" s="944"/>
      <c r="I130" s="944"/>
      <c r="J130" s="944"/>
      <c r="K130" s="944"/>
      <c r="L130" s="944"/>
      <c r="M130" s="947"/>
    </row>
    <row r="131" spans="1:13" ht="16" thickBot="1">
      <c r="A131" s="948" t="s">
        <v>992</v>
      </c>
      <c r="B131" s="949"/>
      <c r="C131" s="950" t="s">
        <v>884</v>
      </c>
      <c r="D131" s="950"/>
      <c r="E131" s="951"/>
      <c r="F131" s="952"/>
      <c r="G131" s="953"/>
      <c r="H131" s="953"/>
      <c r="I131" s="953"/>
      <c r="J131" s="953"/>
      <c r="K131" s="953"/>
      <c r="L131" s="953"/>
      <c r="M131" s="954"/>
    </row>
  </sheetData>
  <mergeCells count="19">
    <mergeCell ref="A1:M1"/>
    <mergeCell ref="A16:M16"/>
    <mergeCell ref="A47:M47"/>
    <mergeCell ref="A55:M55"/>
    <mergeCell ref="A34:M34"/>
    <mergeCell ref="A42:M42"/>
    <mergeCell ref="A21:M21"/>
    <mergeCell ref="A29:M29"/>
    <mergeCell ref="A86:M86"/>
    <mergeCell ref="A94:M94"/>
    <mergeCell ref="A73:M73"/>
    <mergeCell ref="A81:M81"/>
    <mergeCell ref="A60:M60"/>
    <mergeCell ref="A68:M68"/>
    <mergeCell ref="A125:M125"/>
    <mergeCell ref="A112:M112"/>
    <mergeCell ref="A120:M120"/>
    <mergeCell ref="A99:M99"/>
    <mergeCell ref="A107:M107"/>
  </mergeCells>
  <pageMargins left="0.7" right="0.7" top="0.75" bottom="0.75" header="0.3" footer="0.3"/>
  <pageSetup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48A4-60D7-FC42-8F17-B01C9DC64AFD}">
  <dimension ref="A2:BP106"/>
  <sheetViews>
    <sheetView topLeftCell="A72" zoomScaleNormal="100" workbookViewId="0">
      <selection activeCell="B86" sqref="B86"/>
    </sheetView>
  </sheetViews>
  <sheetFormatPr baseColWidth="10" defaultColWidth="9.1640625" defaultRowHeight="15"/>
  <cols>
    <col min="1" max="1" width="33.83203125" style="669" bestFit="1" customWidth="1"/>
    <col min="2" max="2" width="18.83203125" style="669" bestFit="1" customWidth="1"/>
    <col min="3" max="3" width="15" style="669" bestFit="1" customWidth="1"/>
    <col min="4" max="4" width="14.5" style="669" bestFit="1" customWidth="1"/>
    <col min="5" max="5" width="8.33203125" style="669" bestFit="1" customWidth="1"/>
    <col min="6" max="6" width="24.6640625" style="669" bestFit="1" customWidth="1"/>
    <col min="7" max="7" width="18.83203125" style="669" bestFit="1" customWidth="1"/>
    <col min="8" max="8" width="15" style="669" bestFit="1" customWidth="1"/>
    <col min="9" max="9" width="16.6640625" style="669" bestFit="1" customWidth="1"/>
    <col min="10" max="10" width="12.6640625" style="669" bestFit="1" customWidth="1"/>
    <col min="11" max="11" width="22.5" style="669" bestFit="1" customWidth="1"/>
    <col min="12" max="12" width="17.1640625" style="669" bestFit="1" customWidth="1"/>
    <col min="13" max="13" width="16.83203125" style="669" bestFit="1" customWidth="1"/>
    <col min="14" max="14" width="18.6640625" style="669" bestFit="1" customWidth="1"/>
    <col min="15" max="15" width="11.1640625" style="669" bestFit="1" customWidth="1"/>
    <col min="16" max="16" width="22.33203125" style="669" bestFit="1" customWidth="1"/>
    <col min="17" max="17" width="15.33203125" style="669" bestFit="1" customWidth="1"/>
    <col min="18" max="18" width="18.83203125" style="669" bestFit="1" customWidth="1"/>
    <col min="19" max="19" width="14.33203125" style="669" bestFit="1" customWidth="1"/>
    <col min="20" max="20" width="10.33203125" style="669" bestFit="1" customWidth="1"/>
    <col min="21" max="21" width="24.6640625" style="669" bestFit="1" customWidth="1"/>
    <col min="22" max="22" width="18.83203125" style="669" bestFit="1" customWidth="1"/>
    <col min="23" max="23" width="15.33203125" style="669" bestFit="1" customWidth="1"/>
    <col min="24" max="24" width="14.33203125" style="669" bestFit="1" customWidth="1"/>
    <col min="25" max="25" width="11.1640625" style="669" bestFit="1" customWidth="1"/>
    <col min="26" max="26" width="24.6640625" style="669" bestFit="1" customWidth="1"/>
    <col min="27" max="27" width="17.83203125" style="669" bestFit="1" customWidth="1"/>
    <col min="28" max="28" width="15.33203125" style="669" bestFit="1" customWidth="1"/>
    <col min="29" max="29" width="14.33203125" style="669" bestFit="1" customWidth="1"/>
    <col min="30" max="30" width="10.33203125" style="669" bestFit="1" customWidth="1"/>
    <col min="31" max="31" width="24.6640625" style="669" bestFit="1" customWidth="1"/>
    <col min="32" max="32" width="17.5" style="669" bestFit="1" customWidth="1"/>
    <col min="33" max="33" width="15.33203125" style="669" bestFit="1" customWidth="1"/>
    <col min="34" max="34" width="14.33203125" style="669" bestFit="1" customWidth="1"/>
    <col min="35" max="35" width="10.1640625" style="669" bestFit="1" customWidth="1"/>
    <col min="36" max="36" width="21.5" style="669" bestFit="1" customWidth="1"/>
    <col min="37" max="37" width="15.33203125" style="669" bestFit="1" customWidth="1"/>
    <col min="38" max="39" width="14.6640625" style="669" bestFit="1" customWidth="1"/>
    <col min="40" max="40" width="8.5" style="669" bestFit="1" customWidth="1"/>
    <col min="41" max="41" width="21.5" style="669" bestFit="1" customWidth="1"/>
    <col min="42" max="42" width="14.83203125" style="669" bestFit="1" customWidth="1"/>
    <col min="43" max="44" width="13.6640625" style="669" bestFit="1" customWidth="1"/>
    <col min="45" max="45" width="10.1640625" style="669" bestFit="1" customWidth="1"/>
    <col min="46" max="47" width="9.1640625" style="669"/>
    <col min="48" max="48" width="10.1640625" style="669" bestFit="1" customWidth="1"/>
    <col min="49" max="50" width="9.1640625" style="669"/>
    <col min="51" max="51" width="11.1640625" style="669" bestFit="1" customWidth="1"/>
    <col min="52" max="53" width="9.1640625" style="669"/>
    <col min="54" max="54" width="11.83203125" style="669" bestFit="1" customWidth="1"/>
    <col min="55" max="60" width="9.1640625" style="669"/>
    <col min="61" max="61" width="10.1640625" style="669" bestFit="1" customWidth="1"/>
    <col min="62" max="63" width="9.1640625" style="669"/>
    <col min="64" max="64" width="11.1640625" style="669" bestFit="1" customWidth="1"/>
    <col min="65" max="66" width="9.1640625" style="669"/>
    <col min="67" max="67" width="11.1640625" style="669" bestFit="1" customWidth="1"/>
    <col min="68" max="68" width="13.6640625" style="669" bestFit="1" customWidth="1"/>
    <col min="69" max="16384" width="9.1640625" style="669"/>
  </cols>
  <sheetData>
    <row r="2" spans="1:44" ht="16" thickBot="1">
      <c r="A2" s="667" t="s">
        <v>745</v>
      </c>
      <c r="B2" s="668"/>
      <c r="C2" s="668"/>
      <c r="D2" s="975"/>
      <c r="E2" s="668"/>
      <c r="F2" s="667" t="s">
        <v>745</v>
      </c>
      <c r="G2" s="668"/>
      <c r="H2" s="668"/>
      <c r="I2" s="668"/>
      <c r="J2" s="668"/>
      <c r="K2" s="667" t="s">
        <v>745</v>
      </c>
      <c r="L2" s="668"/>
      <c r="M2" s="668"/>
      <c r="N2" s="668"/>
      <c r="O2" s="668"/>
      <c r="P2" s="667" t="s">
        <v>745</v>
      </c>
      <c r="Q2" s="668"/>
      <c r="R2" s="668"/>
      <c r="S2" s="668"/>
      <c r="U2" s="667" t="s">
        <v>745</v>
      </c>
      <c r="V2" s="668"/>
      <c r="W2" s="668"/>
      <c r="X2" s="668"/>
      <c r="Z2" s="667" t="s">
        <v>745</v>
      </c>
      <c r="AA2" s="668"/>
      <c r="AB2" s="668"/>
      <c r="AC2" s="668"/>
      <c r="AE2" s="667" t="s">
        <v>745</v>
      </c>
      <c r="AF2" s="668"/>
      <c r="AG2" s="668"/>
      <c r="AH2" s="668"/>
      <c r="AJ2" s="667" t="s">
        <v>745</v>
      </c>
      <c r="AK2" s="668"/>
      <c r="AL2" s="668"/>
      <c r="AM2" s="668"/>
      <c r="AO2" s="667" t="s">
        <v>745</v>
      </c>
      <c r="AP2" s="668"/>
      <c r="AQ2" s="668"/>
      <c r="AR2" s="668"/>
    </row>
    <row r="3" spans="1:44" ht="34.5" customHeight="1" thickBot="1">
      <c r="A3" s="670" t="str">
        <f>'Ted Inputs'!C18</f>
        <v>2027 Ted - ROOT</v>
      </c>
      <c r="B3" s="671">
        <f>'Ted Inputs'!C19</f>
        <v>46539</v>
      </c>
      <c r="C3" s="672"/>
      <c r="D3" s="668"/>
      <c r="E3" s="668"/>
      <c r="F3" s="673" t="str">
        <f>'Ted Inputs'!C31</f>
        <v>2028 Ted - Root</v>
      </c>
      <c r="G3" s="671">
        <f>'Ted Inputs'!C32</f>
        <v>46905</v>
      </c>
      <c r="H3" s="672"/>
      <c r="I3" s="668"/>
      <c r="J3" s="668"/>
      <c r="K3" s="673" t="str">
        <f>'Ted Inputs'!C44</f>
        <v>2029 Ted - ROOT</v>
      </c>
      <c r="L3" s="671">
        <f>'Ted Inputs'!C45</f>
        <v>47270</v>
      </c>
      <c r="M3" s="672"/>
      <c r="N3" s="668"/>
      <c r="O3" s="668"/>
      <c r="P3" s="673" t="str">
        <f>'Ted Inputs'!C57</f>
        <v>2030 Ted - ROOT</v>
      </c>
      <c r="Q3" s="671">
        <f>'Ted Inputs'!C58</f>
        <v>47635</v>
      </c>
      <c r="R3" s="672"/>
      <c r="S3" s="668"/>
      <c r="U3" s="673" t="str">
        <f>'Ted Inputs'!C70</f>
        <v>N/A</v>
      </c>
      <c r="V3" s="671" t="str">
        <f>'Ted Inputs'!C71</f>
        <v>N/A</v>
      </c>
      <c r="W3" s="672"/>
      <c r="X3" s="668"/>
      <c r="Z3" s="673" t="str">
        <f>'Ted Inputs'!C83</f>
        <v>N/A</v>
      </c>
      <c r="AA3" s="671" t="str">
        <f>'Ted Inputs'!C84</f>
        <v>N/A</v>
      </c>
      <c r="AB3" s="672"/>
      <c r="AC3" s="668"/>
      <c r="AE3" s="673">
        <f>'Ted Inputs'!C96</f>
        <v>0</v>
      </c>
      <c r="AF3" s="671">
        <f>'Ted Inputs'!C97</f>
        <v>0</v>
      </c>
      <c r="AG3" s="672"/>
      <c r="AH3" s="668"/>
      <c r="AJ3" s="673">
        <f>'Ted Inputs'!C109</f>
        <v>0</v>
      </c>
      <c r="AK3" s="671">
        <f>'Ted Inputs'!C110</f>
        <v>0</v>
      </c>
      <c r="AL3" s="672"/>
      <c r="AM3" s="668"/>
      <c r="AO3" s="673">
        <f>'Ted Inputs'!C122</f>
        <v>0</v>
      </c>
      <c r="AP3" s="671">
        <f>'Ted Inputs'!C123</f>
        <v>0</v>
      </c>
      <c r="AQ3" s="672"/>
      <c r="AR3" s="668"/>
    </row>
    <row r="4" spans="1:44" ht="16" thickBot="1">
      <c r="A4" s="668"/>
      <c r="B4" s="668"/>
      <c r="C4" s="674" t="s">
        <v>754</v>
      </c>
      <c r="D4" s="675" t="s">
        <v>755</v>
      </c>
      <c r="E4" s="668"/>
      <c r="F4" s="668"/>
      <c r="G4" s="668"/>
      <c r="H4" s="674" t="s">
        <v>754</v>
      </c>
      <c r="I4" s="675" t="s">
        <v>755</v>
      </c>
      <c r="J4" s="668"/>
      <c r="K4" s="668"/>
      <c r="L4" s="668"/>
      <c r="M4" s="674" t="s">
        <v>754</v>
      </c>
      <c r="N4" s="675" t="s">
        <v>755</v>
      </c>
      <c r="O4" s="668"/>
      <c r="P4" s="668"/>
      <c r="Q4" s="668"/>
      <c r="R4" s="674" t="s">
        <v>754</v>
      </c>
      <c r="S4" s="675" t="s">
        <v>755</v>
      </c>
      <c r="T4" s="543"/>
      <c r="U4" s="668"/>
      <c r="V4" s="668"/>
      <c r="W4" s="674" t="s">
        <v>754</v>
      </c>
      <c r="X4" s="675" t="s">
        <v>755</v>
      </c>
      <c r="Z4" s="668"/>
      <c r="AA4" s="668"/>
      <c r="AB4" s="674" t="s">
        <v>754</v>
      </c>
      <c r="AC4" s="675" t="s">
        <v>755</v>
      </c>
      <c r="AE4" s="668"/>
      <c r="AF4" s="668"/>
      <c r="AG4" s="674" t="s">
        <v>754</v>
      </c>
      <c r="AH4" s="675" t="s">
        <v>755</v>
      </c>
      <c r="AJ4" s="668"/>
      <c r="AK4" s="668"/>
      <c r="AL4" s="674" t="s">
        <v>754</v>
      </c>
      <c r="AM4" s="675" t="s">
        <v>755</v>
      </c>
      <c r="AO4" s="668"/>
      <c r="AP4" s="668"/>
      <c r="AQ4" s="674" t="s">
        <v>754</v>
      </c>
      <c r="AR4" s="675" t="s">
        <v>755</v>
      </c>
    </row>
    <row r="5" spans="1:44" s="677" customFormat="1" ht="32" customHeight="1">
      <c r="A5" s="676" t="s">
        <v>756</v>
      </c>
      <c r="B5" s="1172" t="s">
        <v>18</v>
      </c>
      <c r="C5" s="1176">
        <f>'Ted Inputs'!E23</f>
        <v>199.99</v>
      </c>
      <c r="D5" s="1178">
        <f>C5*B8</f>
        <v>2399.88</v>
      </c>
      <c r="E5" s="1179"/>
      <c r="F5" s="676" t="s">
        <v>756</v>
      </c>
      <c r="G5" s="1172" t="s">
        <v>18</v>
      </c>
      <c r="H5" s="1176">
        <f>'Ted Inputs'!E36</f>
        <v>199.99</v>
      </c>
      <c r="I5" s="1178">
        <f>H5*G8</f>
        <v>2399.88</v>
      </c>
      <c r="J5" s="1179"/>
      <c r="K5" s="676" t="s">
        <v>756</v>
      </c>
      <c r="L5" s="1172" t="s">
        <v>18</v>
      </c>
      <c r="M5" s="1176">
        <f>'Ted Inputs'!E49</f>
        <v>199.99</v>
      </c>
      <c r="N5" s="1178">
        <f>M5*L8</f>
        <v>2399.88</v>
      </c>
      <c r="O5" s="1180"/>
      <c r="P5" s="676" t="s">
        <v>756</v>
      </c>
      <c r="Q5" s="1172" t="s">
        <v>18</v>
      </c>
      <c r="R5" s="1176">
        <f>'Ted Inputs'!E62</f>
        <v>199.99</v>
      </c>
      <c r="S5" s="1178">
        <f>R5*Q8</f>
        <v>2399.88</v>
      </c>
      <c r="T5" s="545"/>
      <c r="U5" s="676" t="s">
        <v>756</v>
      </c>
      <c r="V5" s="1172" t="s">
        <v>18</v>
      </c>
      <c r="W5" s="1176">
        <f>'Ted Inputs'!E75</f>
        <v>0</v>
      </c>
      <c r="X5" s="1178">
        <f>W5*V8</f>
        <v>0</v>
      </c>
      <c r="Z5" s="676" t="s">
        <v>756</v>
      </c>
      <c r="AA5" s="1172" t="s">
        <v>18</v>
      </c>
      <c r="AB5" s="1176">
        <f>'Ted Inputs'!E88</f>
        <v>0</v>
      </c>
      <c r="AC5" s="1178">
        <f>AB5*AA8</f>
        <v>0</v>
      </c>
      <c r="AE5" s="676" t="s">
        <v>756</v>
      </c>
      <c r="AF5" s="1172" t="s">
        <v>18</v>
      </c>
      <c r="AG5" s="1176">
        <f>'Ted Inputs'!E101</f>
        <v>0</v>
      </c>
      <c r="AH5" s="1178">
        <f>AG5*AF8</f>
        <v>0</v>
      </c>
      <c r="AJ5" s="676" t="s">
        <v>756</v>
      </c>
      <c r="AK5" s="1172" t="s">
        <v>18</v>
      </c>
      <c r="AL5" s="1176">
        <f>'Ted Inputs'!E114</f>
        <v>0</v>
      </c>
      <c r="AM5" s="1178">
        <f>AL5*AK8</f>
        <v>0</v>
      </c>
      <c r="AO5" s="676" t="s">
        <v>756</v>
      </c>
      <c r="AP5" s="1172" t="s">
        <v>18</v>
      </c>
      <c r="AQ5" s="1176">
        <f>'Ted Inputs'!E127</f>
        <v>0</v>
      </c>
      <c r="AR5" s="1178">
        <f>AQ5*AP8</f>
        <v>0</v>
      </c>
    </row>
    <row r="6" spans="1:44" s="677" customFormat="1" ht="16" thickBot="1">
      <c r="A6" s="678" t="s">
        <v>757</v>
      </c>
      <c r="B6" s="1173"/>
      <c r="C6" s="1177"/>
      <c r="D6" s="1175"/>
      <c r="E6" s="1179"/>
      <c r="F6" s="678" t="s">
        <v>757</v>
      </c>
      <c r="G6" s="1173"/>
      <c r="H6" s="1177"/>
      <c r="I6" s="1175"/>
      <c r="J6" s="1179"/>
      <c r="K6" s="678" t="s">
        <v>757</v>
      </c>
      <c r="L6" s="1173"/>
      <c r="M6" s="1177"/>
      <c r="N6" s="1175"/>
      <c r="O6" s="1180"/>
      <c r="P6" s="678" t="s">
        <v>757</v>
      </c>
      <c r="Q6" s="1173"/>
      <c r="R6" s="1177"/>
      <c r="S6" s="1175"/>
      <c r="T6" s="545"/>
      <c r="U6" s="678" t="s">
        <v>757</v>
      </c>
      <c r="V6" s="1173"/>
      <c r="W6" s="1177"/>
      <c r="X6" s="1175"/>
      <c r="Z6" s="678" t="s">
        <v>757</v>
      </c>
      <c r="AA6" s="1173"/>
      <c r="AB6" s="1177"/>
      <c r="AC6" s="1175"/>
      <c r="AE6" s="678" t="s">
        <v>757</v>
      </c>
      <c r="AF6" s="1173"/>
      <c r="AG6" s="1177"/>
      <c r="AH6" s="1175"/>
      <c r="AJ6" s="678" t="s">
        <v>757</v>
      </c>
      <c r="AK6" s="1173"/>
      <c r="AL6" s="1177"/>
      <c r="AM6" s="1175"/>
      <c r="AO6" s="678" t="s">
        <v>757</v>
      </c>
      <c r="AP6" s="1173"/>
      <c r="AQ6" s="1177"/>
      <c r="AR6" s="1175"/>
    </row>
    <row r="7" spans="1:44" ht="16" thickBot="1">
      <c r="A7" s="679" t="s">
        <v>758</v>
      </c>
      <c r="B7" s="680">
        <f>'Ted Inputs'!G23</f>
        <v>1000</v>
      </c>
      <c r="C7" s="681"/>
      <c r="D7" s="681"/>
      <c r="E7" s="668"/>
      <c r="F7" s="679" t="s">
        <v>758</v>
      </c>
      <c r="G7" s="680">
        <f>'Ted Inputs'!G36</f>
        <v>1500</v>
      </c>
      <c r="H7" s="681"/>
      <c r="I7" s="681"/>
      <c r="J7" s="668"/>
      <c r="K7" s="679" t="s">
        <v>758</v>
      </c>
      <c r="L7" s="680">
        <f>'Ted Inputs'!G49</f>
        <v>2000</v>
      </c>
      <c r="M7" s="681"/>
      <c r="N7" s="681"/>
      <c r="O7" s="668"/>
      <c r="P7" s="679" t="s">
        <v>758</v>
      </c>
      <c r="Q7" s="680">
        <f>'Ted Inputs'!G62</f>
        <v>2500</v>
      </c>
      <c r="R7" s="681"/>
      <c r="S7" s="681"/>
      <c r="T7" s="551"/>
      <c r="U7" s="679" t="s">
        <v>758</v>
      </c>
      <c r="V7" s="680">
        <f>'Ted Inputs'!G75</f>
        <v>0</v>
      </c>
      <c r="W7" s="681"/>
      <c r="X7" s="681"/>
      <c r="Z7" s="679" t="s">
        <v>758</v>
      </c>
      <c r="AA7" s="680">
        <f>'Ted Inputs'!G88</f>
        <v>0</v>
      </c>
      <c r="AB7" s="681"/>
      <c r="AC7" s="681"/>
      <c r="AE7" s="679" t="s">
        <v>758</v>
      </c>
      <c r="AF7" s="680">
        <f>'Ted Inputs'!G101</f>
        <v>0</v>
      </c>
      <c r="AG7" s="681"/>
      <c r="AH7" s="681"/>
      <c r="AJ7" s="679" t="s">
        <v>758</v>
      </c>
      <c r="AK7" s="680">
        <f>'Ted Inputs'!G114</f>
        <v>0</v>
      </c>
      <c r="AL7" s="681"/>
      <c r="AM7" s="681"/>
      <c r="AO7" s="679" t="s">
        <v>758</v>
      </c>
      <c r="AP7" s="680">
        <f>'Ted Inputs'!G127</f>
        <v>0</v>
      </c>
      <c r="AQ7" s="681"/>
      <c r="AR7" s="681"/>
    </row>
    <row r="8" spans="1:44" ht="17" thickBot="1">
      <c r="A8" s="682" t="s">
        <v>188</v>
      </c>
      <c r="B8" s="681">
        <f>'Ted Inputs'!I23</f>
        <v>12</v>
      </c>
      <c r="C8" s="681"/>
      <c r="D8" s="683"/>
      <c r="E8" s="668"/>
      <c r="F8" s="682" t="s">
        <v>188</v>
      </c>
      <c r="G8" s="681">
        <f>'Ted Inputs'!I36</f>
        <v>12</v>
      </c>
      <c r="H8" s="681"/>
      <c r="I8" s="683"/>
      <c r="J8" s="668"/>
      <c r="K8" s="682" t="s">
        <v>188</v>
      </c>
      <c r="L8" s="681">
        <f>'Ted Inputs'!I49</f>
        <v>12</v>
      </c>
      <c r="M8" s="681"/>
      <c r="N8" s="683"/>
      <c r="O8" s="668"/>
      <c r="P8" s="682" t="s">
        <v>188</v>
      </c>
      <c r="Q8" s="681">
        <f>'Ted Inputs'!I62</f>
        <v>12</v>
      </c>
      <c r="R8" s="681"/>
      <c r="S8" s="683"/>
      <c r="T8" s="551"/>
      <c r="U8" s="682" t="s">
        <v>188</v>
      </c>
      <c r="V8" s="681">
        <f>'Ted Inputs'!I75</f>
        <v>0</v>
      </c>
      <c r="W8" s="681"/>
      <c r="X8" s="683"/>
      <c r="Z8" s="682" t="s">
        <v>188</v>
      </c>
      <c r="AA8" s="681">
        <f>'Ted Inputs'!I88</f>
        <v>0</v>
      </c>
      <c r="AB8" s="681"/>
      <c r="AC8" s="683"/>
      <c r="AE8" s="682" t="s">
        <v>188</v>
      </c>
      <c r="AF8" s="681">
        <f>'Ted Inputs'!I101</f>
        <v>0</v>
      </c>
      <c r="AG8" s="681"/>
      <c r="AH8" s="683"/>
      <c r="AJ8" s="682" t="s">
        <v>188</v>
      </c>
      <c r="AK8" s="681">
        <f>'Ted Inputs'!I114</f>
        <v>0</v>
      </c>
      <c r="AL8" s="681"/>
      <c r="AM8" s="683"/>
      <c r="AO8" s="682" t="s">
        <v>188</v>
      </c>
      <c r="AP8" s="681">
        <f>'Ted Inputs'!I127</f>
        <v>0</v>
      </c>
      <c r="AQ8" s="681"/>
      <c r="AR8" s="683"/>
    </row>
    <row r="9" spans="1:44" ht="16" thickBot="1">
      <c r="A9" s="679" t="s">
        <v>759</v>
      </c>
      <c r="B9" s="680">
        <f>B7*B8</f>
        <v>12000</v>
      </c>
      <c r="C9" s="684"/>
      <c r="D9" s="685"/>
      <c r="E9" s="668"/>
      <c r="F9" s="679" t="s">
        <v>759</v>
      </c>
      <c r="G9" s="680">
        <f>G7*G8</f>
        <v>18000</v>
      </c>
      <c r="H9" s="684"/>
      <c r="I9" s="685"/>
      <c r="J9" s="668"/>
      <c r="K9" s="679" t="s">
        <v>759</v>
      </c>
      <c r="L9" s="680">
        <f>L7*L8</f>
        <v>24000</v>
      </c>
      <c r="M9" s="684"/>
      <c r="N9" s="685"/>
      <c r="O9" s="668"/>
      <c r="P9" s="679" t="s">
        <v>759</v>
      </c>
      <c r="Q9" s="680">
        <f>Q7*Q8</f>
        <v>30000</v>
      </c>
      <c r="R9" s="684"/>
      <c r="S9" s="685">
        <v>3599760</v>
      </c>
      <c r="T9" s="556"/>
      <c r="U9" s="679" t="s">
        <v>759</v>
      </c>
      <c r="V9" s="680">
        <f>V7*V8</f>
        <v>0</v>
      </c>
      <c r="W9" s="684"/>
      <c r="X9" s="685"/>
      <c r="Z9" s="679" t="s">
        <v>759</v>
      </c>
      <c r="AA9" s="680">
        <f>AA7*AA8</f>
        <v>0</v>
      </c>
      <c r="AB9" s="684"/>
      <c r="AC9" s="685"/>
      <c r="AE9" s="679" t="s">
        <v>759</v>
      </c>
      <c r="AF9" s="680">
        <f>AF7*AF8</f>
        <v>0</v>
      </c>
      <c r="AG9" s="684"/>
      <c r="AH9" s="685"/>
      <c r="AJ9" s="679" t="s">
        <v>759</v>
      </c>
      <c r="AK9" s="680">
        <f>AK7*AK8</f>
        <v>0</v>
      </c>
      <c r="AL9" s="684"/>
      <c r="AM9" s="685"/>
      <c r="AO9" s="679" t="s">
        <v>759</v>
      </c>
      <c r="AP9" s="680">
        <f>AP7*AP8</f>
        <v>0</v>
      </c>
      <c r="AQ9" s="684"/>
      <c r="AR9" s="685"/>
    </row>
    <row r="10" spans="1:44" ht="16" thickBot="1">
      <c r="A10" s="679" t="s">
        <v>192</v>
      </c>
      <c r="B10" s="681">
        <f>'Ted Inputs'!K23</f>
        <v>12</v>
      </c>
      <c r="C10" s="684"/>
      <c r="D10" s="686"/>
      <c r="E10" s="668"/>
      <c r="F10" s="679" t="s">
        <v>192</v>
      </c>
      <c r="G10" s="681">
        <f>'Ted Inputs'!K36</f>
        <v>12</v>
      </c>
      <c r="H10" s="684"/>
      <c r="I10" s="686"/>
      <c r="J10" s="668"/>
      <c r="K10" s="679" t="s">
        <v>192</v>
      </c>
      <c r="L10" s="681">
        <f>'Ted Inputs'!K49</f>
        <v>12</v>
      </c>
      <c r="M10" s="684"/>
      <c r="N10" s="686"/>
      <c r="O10" s="668"/>
      <c r="P10" s="679" t="s">
        <v>192</v>
      </c>
      <c r="Q10" s="681">
        <f>'Ted Inputs'!K62</f>
        <v>12</v>
      </c>
      <c r="R10" s="684"/>
      <c r="S10" s="686" t="s">
        <v>760</v>
      </c>
      <c r="T10" s="558"/>
      <c r="U10" s="679" t="s">
        <v>192</v>
      </c>
      <c r="V10" s="681">
        <f>'Ted Inputs'!K75</f>
        <v>0</v>
      </c>
      <c r="W10" s="684"/>
      <c r="X10" s="686"/>
      <c r="Z10" s="679" t="s">
        <v>192</v>
      </c>
      <c r="AA10" s="681">
        <f>'Ted Inputs'!K88</f>
        <v>0</v>
      </c>
      <c r="AB10" s="684"/>
      <c r="AC10" s="686"/>
      <c r="AE10" s="679" t="s">
        <v>192</v>
      </c>
      <c r="AF10" s="681">
        <f>'Ted Inputs'!K101</f>
        <v>0</v>
      </c>
      <c r="AG10" s="684"/>
      <c r="AH10" s="686"/>
      <c r="AJ10" s="679" t="s">
        <v>192</v>
      </c>
      <c r="AK10" s="681">
        <f>'Ted Inputs'!K114</f>
        <v>0</v>
      </c>
      <c r="AL10" s="684"/>
      <c r="AM10" s="686"/>
      <c r="AO10" s="679" t="s">
        <v>192</v>
      </c>
      <c r="AP10" s="681">
        <f>'Ted Inputs'!K127</f>
        <v>0</v>
      </c>
      <c r="AQ10" s="684"/>
      <c r="AR10" s="686"/>
    </row>
    <row r="11" spans="1:44" ht="16" thickBot="1">
      <c r="A11" s="687" t="s">
        <v>195</v>
      </c>
      <c r="B11" s="681">
        <f>'Ted Inputs'!M23</f>
        <v>5</v>
      </c>
      <c r="C11" s="681"/>
      <c r="D11" s="681"/>
      <c r="E11" s="668"/>
      <c r="F11" s="687" t="s">
        <v>195</v>
      </c>
      <c r="G11" s="681">
        <f>'Ted Inputs'!M36</f>
        <v>5</v>
      </c>
      <c r="H11" s="681"/>
      <c r="I11" s="681"/>
      <c r="J11" s="668"/>
      <c r="K11" s="687" t="s">
        <v>195</v>
      </c>
      <c r="L11" s="681">
        <f>'Ted Inputs'!M49</f>
        <v>5</v>
      </c>
      <c r="M11" s="681"/>
      <c r="N11" s="681"/>
      <c r="O11" s="668"/>
      <c r="P11" s="687" t="s">
        <v>195</v>
      </c>
      <c r="Q11" s="681">
        <f>'Ted Inputs'!M62</f>
        <v>5</v>
      </c>
      <c r="R11" s="681"/>
      <c r="S11" s="681"/>
      <c r="T11" s="558"/>
      <c r="U11" s="687" t="s">
        <v>195</v>
      </c>
      <c r="V11" s="681">
        <f>'Ted Inputs'!M75</f>
        <v>0</v>
      </c>
      <c r="W11" s="681"/>
      <c r="X11" s="681"/>
      <c r="Z11" s="687" t="s">
        <v>195</v>
      </c>
      <c r="AA11" s="681">
        <f>'Ted Inputs'!M88</f>
        <v>0</v>
      </c>
      <c r="AB11" s="681"/>
      <c r="AC11" s="681"/>
      <c r="AE11" s="687" t="s">
        <v>195</v>
      </c>
      <c r="AF11" s="681">
        <f>'Ted Inputs'!M101</f>
        <v>0</v>
      </c>
      <c r="AG11" s="681"/>
      <c r="AH11" s="681"/>
      <c r="AJ11" s="687" t="s">
        <v>195</v>
      </c>
      <c r="AK11" s="681">
        <f>'Ted Inputs'!M114</f>
        <v>0</v>
      </c>
      <c r="AL11" s="681"/>
      <c r="AM11" s="681"/>
      <c r="AO11" s="687" t="s">
        <v>195</v>
      </c>
      <c r="AP11" s="681">
        <f>'Ted Inputs'!M127</f>
        <v>0</v>
      </c>
      <c r="AQ11" s="681"/>
      <c r="AR11" s="681"/>
    </row>
    <row r="12" spans="1:44" ht="16" thickBot="1">
      <c r="A12" s="679" t="s">
        <v>761</v>
      </c>
      <c r="B12" s="680">
        <f>B9*B10</f>
        <v>144000</v>
      </c>
      <c r="C12" s="681"/>
      <c r="D12" s="681"/>
      <c r="E12" s="668"/>
      <c r="F12" s="679" t="s">
        <v>761</v>
      </c>
      <c r="G12" s="680">
        <f>G9*G10</f>
        <v>216000</v>
      </c>
      <c r="H12" s="681"/>
      <c r="I12" s="681"/>
      <c r="J12" s="668"/>
      <c r="K12" s="679" t="s">
        <v>761</v>
      </c>
      <c r="L12" s="680">
        <f>L9*L10</f>
        <v>288000</v>
      </c>
      <c r="M12" s="681"/>
      <c r="N12" s="681"/>
      <c r="O12" s="668"/>
      <c r="P12" s="679" t="s">
        <v>761</v>
      </c>
      <c r="Q12" s="680">
        <f>Q9*Q10</f>
        <v>360000</v>
      </c>
      <c r="R12" s="681"/>
      <c r="S12" s="681"/>
      <c r="T12" s="551"/>
      <c r="U12" s="679" t="s">
        <v>761</v>
      </c>
      <c r="V12" s="680">
        <f>V9*V10</f>
        <v>0</v>
      </c>
      <c r="W12" s="681"/>
      <c r="X12" s="681"/>
      <c r="Z12" s="679" t="s">
        <v>761</v>
      </c>
      <c r="AA12" s="680">
        <f>AA9*AA10</f>
        <v>0</v>
      </c>
      <c r="AB12" s="681"/>
      <c r="AC12" s="681"/>
      <c r="AE12" s="679" t="s">
        <v>761</v>
      </c>
      <c r="AF12" s="680">
        <f>AF9*AF10</f>
        <v>0</v>
      </c>
      <c r="AG12" s="681"/>
      <c r="AH12" s="681"/>
      <c r="AJ12" s="679" t="s">
        <v>761</v>
      </c>
      <c r="AK12" s="680">
        <f>AK9*AK10</f>
        <v>0</v>
      </c>
      <c r="AL12" s="681"/>
      <c r="AM12" s="681"/>
      <c r="AO12" s="679" t="s">
        <v>761</v>
      </c>
      <c r="AP12" s="680">
        <f>AP9*AP10</f>
        <v>0</v>
      </c>
      <c r="AQ12" s="681"/>
      <c r="AR12" s="681"/>
    </row>
    <row r="13" spans="1:44" ht="16" thickBot="1">
      <c r="A13" s="679" t="s">
        <v>762</v>
      </c>
      <c r="B13" s="680">
        <f>B12*B11</f>
        <v>720000</v>
      </c>
      <c r="C13" s="681"/>
      <c r="D13" s="681"/>
      <c r="E13" s="668"/>
      <c r="F13" s="679" t="s">
        <v>762</v>
      </c>
      <c r="G13" s="680">
        <f>G12*G11</f>
        <v>1080000</v>
      </c>
      <c r="H13" s="681"/>
      <c r="I13" s="681"/>
      <c r="J13" s="668"/>
      <c r="K13" s="679" t="s">
        <v>762</v>
      </c>
      <c r="L13" s="680">
        <f>L12*L11</f>
        <v>1440000</v>
      </c>
      <c r="M13" s="681"/>
      <c r="N13" s="681"/>
      <c r="O13" s="668"/>
      <c r="P13" s="679" t="s">
        <v>762</v>
      </c>
      <c r="Q13" s="680">
        <f>Q12*Q11</f>
        <v>1800000</v>
      </c>
      <c r="R13" s="681"/>
      <c r="S13" s="681"/>
      <c r="T13" s="560"/>
      <c r="U13" s="679" t="s">
        <v>762</v>
      </c>
      <c r="V13" s="680">
        <f>V12*V11</f>
        <v>0</v>
      </c>
      <c r="W13" s="681"/>
      <c r="X13" s="681"/>
      <c r="Z13" s="679" t="s">
        <v>762</v>
      </c>
      <c r="AA13" s="680">
        <f>AA12*AA11</f>
        <v>0</v>
      </c>
      <c r="AB13" s="681"/>
      <c r="AC13" s="681"/>
      <c r="AE13" s="679" t="s">
        <v>762</v>
      </c>
      <c r="AF13" s="680">
        <f>AF12*AF11</f>
        <v>0</v>
      </c>
      <c r="AG13" s="681"/>
      <c r="AH13" s="681"/>
      <c r="AJ13" s="679" t="s">
        <v>762</v>
      </c>
      <c r="AK13" s="680">
        <f>AK12*AK11</f>
        <v>0</v>
      </c>
      <c r="AL13" s="681"/>
      <c r="AM13" s="681"/>
      <c r="AO13" s="679" t="s">
        <v>762</v>
      </c>
      <c r="AP13" s="680">
        <f>AP12*AP11</f>
        <v>0</v>
      </c>
      <c r="AQ13" s="681"/>
      <c r="AR13" s="681"/>
    </row>
    <row r="14" spans="1:44" ht="16" thickBot="1">
      <c r="A14" s="679" t="s">
        <v>763</v>
      </c>
      <c r="B14" s="688">
        <f>C18/B13</f>
        <v>1.9999027777777778</v>
      </c>
      <c r="C14" s="681"/>
      <c r="D14" s="689"/>
      <c r="E14" s="668"/>
      <c r="F14" s="679" t="s">
        <v>763</v>
      </c>
      <c r="G14" s="688">
        <f>H18/G13</f>
        <v>1.9999027777777778</v>
      </c>
      <c r="H14" s="681"/>
      <c r="I14" s="689"/>
      <c r="J14" s="668"/>
      <c r="K14" s="679" t="s">
        <v>763</v>
      </c>
      <c r="L14" s="688">
        <f>M18/L13</f>
        <v>1.9999027777777778</v>
      </c>
      <c r="M14" s="681"/>
      <c r="N14" s="689"/>
      <c r="O14" s="668"/>
      <c r="P14" s="679" t="s">
        <v>763</v>
      </c>
      <c r="Q14" s="688">
        <f>R18/Q13</f>
        <v>1.9999027777777778</v>
      </c>
      <c r="R14" s="681"/>
      <c r="S14" s="689">
        <v>2.08</v>
      </c>
      <c r="T14" s="551"/>
      <c r="U14" s="679" t="s">
        <v>763</v>
      </c>
      <c r="V14" s="688" t="e">
        <f>W18/V13</f>
        <v>#DIV/0!</v>
      </c>
      <c r="W14" s="681"/>
      <c r="X14" s="689"/>
      <c r="Z14" s="679" t="s">
        <v>763</v>
      </c>
      <c r="AA14" s="688" t="e">
        <f>AB18/AA13</f>
        <v>#DIV/0!</v>
      </c>
      <c r="AB14" s="681"/>
      <c r="AC14" s="689"/>
      <c r="AE14" s="679" t="s">
        <v>763</v>
      </c>
      <c r="AF14" s="688" t="e">
        <f>AG18/AF13</f>
        <v>#DIV/0!</v>
      </c>
      <c r="AG14" s="681"/>
      <c r="AH14" s="689"/>
      <c r="AJ14" s="679" t="s">
        <v>763</v>
      </c>
      <c r="AK14" s="688" t="e">
        <f>AL18/AK13</f>
        <v>#DIV/0!</v>
      </c>
      <c r="AL14" s="681"/>
      <c r="AM14" s="689"/>
      <c r="AO14" s="679" t="s">
        <v>763</v>
      </c>
      <c r="AP14" s="688" t="e">
        <f>AQ18/AP13</f>
        <v>#DIV/0!</v>
      </c>
      <c r="AQ14" s="681"/>
      <c r="AR14" s="689"/>
    </row>
    <row r="15" spans="1:44" ht="16" thickBot="1">
      <c r="A15" s="690"/>
      <c r="B15" s="691" t="s">
        <v>250</v>
      </c>
      <c r="C15" s="691" t="s">
        <v>764</v>
      </c>
      <c r="D15" s="691" t="s">
        <v>18</v>
      </c>
      <c r="E15" s="668"/>
      <c r="F15" s="690"/>
      <c r="G15" s="691" t="s">
        <v>250</v>
      </c>
      <c r="H15" s="691" t="s">
        <v>764</v>
      </c>
      <c r="I15" s="691" t="s">
        <v>18</v>
      </c>
      <c r="J15" s="668"/>
      <c r="K15" s="690"/>
      <c r="L15" s="691" t="s">
        <v>250</v>
      </c>
      <c r="M15" s="691" t="s">
        <v>764</v>
      </c>
      <c r="N15" s="691" t="s">
        <v>18</v>
      </c>
      <c r="O15" s="668"/>
      <c r="P15" s="690"/>
      <c r="Q15" s="691" t="s">
        <v>250</v>
      </c>
      <c r="R15" s="691" t="s">
        <v>764</v>
      </c>
      <c r="S15" s="691" t="s">
        <v>18</v>
      </c>
      <c r="T15" s="551"/>
      <c r="U15" s="690"/>
      <c r="V15" s="691" t="s">
        <v>250</v>
      </c>
      <c r="W15" s="691" t="s">
        <v>764</v>
      </c>
      <c r="X15" s="691" t="s">
        <v>18</v>
      </c>
      <c r="Z15" s="690"/>
      <c r="AA15" s="691" t="s">
        <v>250</v>
      </c>
      <c r="AB15" s="691" t="s">
        <v>764</v>
      </c>
      <c r="AC15" s="691" t="s">
        <v>18</v>
      </c>
      <c r="AE15" s="690"/>
      <c r="AF15" s="691" t="s">
        <v>250</v>
      </c>
      <c r="AG15" s="691" t="s">
        <v>764</v>
      </c>
      <c r="AH15" s="691" t="s">
        <v>18</v>
      </c>
      <c r="AJ15" s="690"/>
      <c r="AK15" s="691" t="s">
        <v>250</v>
      </c>
      <c r="AL15" s="691" t="s">
        <v>764</v>
      </c>
      <c r="AM15" s="691" t="s">
        <v>18</v>
      </c>
      <c r="AO15" s="690"/>
      <c r="AP15" s="691" t="s">
        <v>250</v>
      </c>
      <c r="AQ15" s="691" t="s">
        <v>764</v>
      </c>
      <c r="AR15" s="691" t="s">
        <v>18</v>
      </c>
    </row>
    <row r="16" spans="1:44" ht="16" thickBot="1">
      <c r="A16" s="692" t="s">
        <v>765</v>
      </c>
      <c r="B16" s="693">
        <f>ROUND(C16*$B$89,2)</f>
        <v>60</v>
      </c>
      <c r="C16" s="694">
        <f>ROUND(D16*'Ted Inputs'!$G$10,2)</f>
        <v>119.99</v>
      </c>
      <c r="D16" s="694">
        <f>C5</f>
        <v>199.99</v>
      </c>
      <c r="E16" s="668"/>
      <c r="F16" s="692" t="s">
        <v>765</v>
      </c>
      <c r="G16" s="693">
        <f>ROUND(H16*$B$89,2)</f>
        <v>60</v>
      </c>
      <c r="H16" s="694">
        <f>ROUND(I16*'Ted Inputs'!$G$10,2)</f>
        <v>119.99</v>
      </c>
      <c r="I16" s="694">
        <f>H5</f>
        <v>199.99</v>
      </c>
      <c r="J16" s="668"/>
      <c r="K16" s="692" t="s">
        <v>765</v>
      </c>
      <c r="L16" s="693">
        <f>ROUND(M16*$B$89,2)</f>
        <v>60</v>
      </c>
      <c r="M16" s="694">
        <f>ROUND(N16*'Ted Inputs'!$G$10,2)</f>
        <v>119.99</v>
      </c>
      <c r="N16" s="694">
        <f>M5</f>
        <v>199.99</v>
      </c>
      <c r="O16" s="668"/>
      <c r="P16" s="692" t="s">
        <v>765</v>
      </c>
      <c r="Q16" s="693">
        <f>ROUND(R16*$B$89,2)</f>
        <v>60</v>
      </c>
      <c r="R16" s="694">
        <f>ROUND(S16*'Ted Inputs'!$G$10,2)</f>
        <v>119.99</v>
      </c>
      <c r="S16" s="694">
        <f>R5</f>
        <v>199.99</v>
      </c>
      <c r="T16" s="551"/>
      <c r="U16" s="692" t="s">
        <v>765</v>
      </c>
      <c r="V16" s="693">
        <f>ROUND(W16*$B$89,2)</f>
        <v>0</v>
      </c>
      <c r="W16" s="694">
        <f>ROUND(X16*'Ted Inputs'!$G$10,2)</f>
        <v>0</v>
      </c>
      <c r="X16" s="694">
        <f>W5</f>
        <v>0</v>
      </c>
      <c r="Z16" s="692" t="s">
        <v>765</v>
      </c>
      <c r="AA16" s="693">
        <f>ROUND(AB16*$B$89,2)</f>
        <v>0</v>
      </c>
      <c r="AB16" s="694">
        <f>ROUND(AC16*'Ted Inputs'!$G$10,2)</f>
        <v>0</v>
      </c>
      <c r="AC16" s="694">
        <f>AB5</f>
        <v>0</v>
      </c>
      <c r="AE16" s="692" t="s">
        <v>765</v>
      </c>
      <c r="AF16" s="693">
        <f>ROUND(AG16*$B$89,2)</f>
        <v>0</v>
      </c>
      <c r="AG16" s="694">
        <f>ROUND(AH16*'Ted Inputs'!$G$10,2)</f>
        <v>0</v>
      </c>
      <c r="AH16" s="694">
        <f>AG5</f>
        <v>0</v>
      </c>
      <c r="AJ16" s="692" t="s">
        <v>765</v>
      </c>
      <c r="AK16" s="693">
        <f>ROUND(AL16*$B$89,2)</f>
        <v>0</v>
      </c>
      <c r="AL16" s="694">
        <f>ROUND(AM16*'Ted Inputs'!$G$10,2)</f>
        <v>0</v>
      </c>
      <c r="AM16" s="694">
        <f>AL5</f>
        <v>0</v>
      </c>
      <c r="AO16" s="692" t="s">
        <v>765</v>
      </c>
      <c r="AP16" s="693">
        <f>ROUND(AQ16*$B$89,2)</f>
        <v>0</v>
      </c>
      <c r="AQ16" s="694">
        <f>ROUND(AR16*'Ted Inputs'!$G$10,2)</f>
        <v>0</v>
      </c>
      <c r="AR16" s="694">
        <f>AQ5</f>
        <v>0</v>
      </c>
    </row>
    <row r="17" spans="1:44" ht="16" thickBot="1">
      <c r="A17" s="692" t="s">
        <v>766</v>
      </c>
      <c r="B17" s="693">
        <f>ROUND(C17*$B$89,2)</f>
        <v>719.97</v>
      </c>
      <c r="C17" s="695">
        <f>ROUND(D17*'Ted Inputs'!$G$10,2)</f>
        <v>1439.93</v>
      </c>
      <c r="D17" s="695">
        <f>ROUND(D16*B8,2)</f>
        <v>2399.88</v>
      </c>
      <c r="E17" s="668"/>
      <c r="F17" s="692" t="s">
        <v>766</v>
      </c>
      <c r="G17" s="693">
        <f>ROUND(H17*$B$89,2)</f>
        <v>719.97</v>
      </c>
      <c r="H17" s="695">
        <f>ROUND(I17*'Ted Inputs'!$G$10,2)</f>
        <v>1439.93</v>
      </c>
      <c r="I17" s="695">
        <f>ROUND(I16*G8,2)</f>
        <v>2399.88</v>
      </c>
      <c r="J17" s="668"/>
      <c r="K17" s="692" t="s">
        <v>766</v>
      </c>
      <c r="L17" s="693">
        <f>ROUND(M17*$B$89,2)</f>
        <v>719.97</v>
      </c>
      <c r="M17" s="695">
        <f>ROUND(N17*'Ted Inputs'!$G$10,2)</f>
        <v>1439.93</v>
      </c>
      <c r="N17" s="695">
        <f>ROUND(N16*L8,2)</f>
        <v>2399.88</v>
      </c>
      <c r="O17" s="668"/>
      <c r="P17" s="692" t="s">
        <v>766</v>
      </c>
      <c r="Q17" s="693">
        <f>ROUND(R17*$B$89,2)</f>
        <v>719.97</v>
      </c>
      <c r="R17" s="695">
        <f>ROUND(S17*'Ted Inputs'!$G$10,2)</f>
        <v>1439.93</v>
      </c>
      <c r="S17" s="695">
        <f>ROUND(S16*Q8,2)</f>
        <v>2399.88</v>
      </c>
      <c r="T17" s="551"/>
      <c r="U17" s="692" t="s">
        <v>766</v>
      </c>
      <c r="V17" s="693">
        <f>ROUND(W17*$B$89,2)</f>
        <v>0</v>
      </c>
      <c r="W17" s="695">
        <f>ROUND(X17*'Ted Inputs'!$G$10,2)</f>
        <v>0</v>
      </c>
      <c r="X17" s="695">
        <f>ROUND(X16*V8,2)</f>
        <v>0</v>
      </c>
      <c r="Z17" s="692" t="s">
        <v>766</v>
      </c>
      <c r="AA17" s="693">
        <f>ROUND(AB17*$B$89,2)</f>
        <v>0</v>
      </c>
      <c r="AB17" s="695">
        <f>ROUND(AC17*'Ted Inputs'!$G$10,2)</f>
        <v>0</v>
      </c>
      <c r="AC17" s="695">
        <f>ROUND(AC16*AA8,2)</f>
        <v>0</v>
      </c>
      <c r="AE17" s="692" t="s">
        <v>766</v>
      </c>
      <c r="AF17" s="693">
        <f>ROUND(AG17*$B$89,2)</f>
        <v>0</v>
      </c>
      <c r="AG17" s="695">
        <f>ROUND(AH17*'Ted Inputs'!$G$10,2)</f>
        <v>0</v>
      </c>
      <c r="AH17" s="695">
        <f>ROUND(AH16*AF8,2)</f>
        <v>0</v>
      </c>
      <c r="AJ17" s="692" t="s">
        <v>766</v>
      </c>
      <c r="AK17" s="693">
        <f>ROUND(AL17*$B$89,2)</f>
        <v>0</v>
      </c>
      <c r="AL17" s="695">
        <f>ROUND(AM17*'Ted Inputs'!$G$10,2)</f>
        <v>0</v>
      </c>
      <c r="AM17" s="695">
        <f>ROUND(AM16*AK8,2)</f>
        <v>0</v>
      </c>
      <c r="AO17" s="692" t="s">
        <v>766</v>
      </c>
      <c r="AP17" s="693">
        <f>ROUND(AQ17*$B$89,2)</f>
        <v>0</v>
      </c>
      <c r="AQ17" s="695">
        <f>ROUND(AR17*'Ted Inputs'!$G$10,2)</f>
        <v>0</v>
      </c>
      <c r="AR17" s="695">
        <f>ROUND(AR16*AP8,2)</f>
        <v>0</v>
      </c>
    </row>
    <row r="18" spans="1:44" ht="16" thickBot="1">
      <c r="A18" s="692" t="s">
        <v>767</v>
      </c>
      <c r="B18" s="693">
        <f>ROUND(B17*$B$7,2)</f>
        <v>719970</v>
      </c>
      <c r="C18" s="695">
        <f>ROUND(C17*B7,2)</f>
        <v>1439930</v>
      </c>
      <c r="D18" s="695">
        <f>ROUND(D17*B7,2)</f>
        <v>2399880</v>
      </c>
      <c r="E18" s="668"/>
      <c r="F18" s="692" t="s">
        <v>767</v>
      </c>
      <c r="G18" s="693">
        <f>ROUND(G17*$B$7,2)</f>
        <v>719970</v>
      </c>
      <c r="H18" s="695">
        <f>ROUND(H17*G7,2)</f>
        <v>2159895</v>
      </c>
      <c r="I18" s="695">
        <f>ROUND(I17*G7,2)</f>
        <v>3599820</v>
      </c>
      <c r="J18" s="668"/>
      <c r="K18" s="692" t="s">
        <v>767</v>
      </c>
      <c r="L18" s="693">
        <f>ROUND(L17*$B$7,2)</f>
        <v>719970</v>
      </c>
      <c r="M18" s="695">
        <f>ROUND(M17*L7,2)</f>
        <v>2879860</v>
      </c>
      <c r="N18" s="695">
        <f>ROUND(N17*L7,2)</f>
        <v>4799760</v>
      </c>
      <c r="O18" s="668"/>
      <c r="P18" s="692" t="s">
        <v>767</v>
      </c>
      <c r="Q18" s="693">
        <f>ROUND(Q17*$B$7,2)</f>
        <v>719970</v>
      </c>
      <c r="R18" s="695">
        <f>ROUND(R17*Q7,2)</f>
        <v>3599825</v>
      </c>
      <c r="S18" s="695">
        <f>ROUND(S17*Q7,2)</f>
        <v>5999700</v>
      </c>
      <c r="T18" s="551"/>
      <c r="U18" s="692" t="s">
        <v>767</v>
      </c>
      <c r="V18" s="693">
        <f>ROUND(V17*$B$7,2)</f>
        <v>0</v>
      </c>
      <c r="W18" s="695">
        <f>ROUND(W17*V7,2)</f>
        <v>0</v>
      </c>
      <c r="X18" s="695">
        <f>ROUND(X17*V7,2)</f>
        <v>0</v>
      </c>
      <c r="Z18" s="692" t="s">
        <v>767</v>
      </c>
      <c r="AA18" s="693">
        <f>ROUND(AA17*$B$7,2)</f>
        <v>0</v>
      </c>
      <c r="AB18" s="695">
        <f>ROUND(AB17*AA7,2)</f>
        <v>0</v>
      </c>
      <c r="AC18" s="695">
        <f>ROUND(AC17*AA7,2)</f>
        <v>0</v>
      </c>
      <c r="AE18" s="692" t="s">
        <v>767</v>
      </c>
      <c r="AF18" s="693">
        <f>ROUND(AF17*$B$7,2)</f>
        <v>0</v>
      </c>
      <c r="AG18" s="695">
        <f>ROUND(AG17*AF7,2)</f>
        <v>0</v>
      </c>
      <c r="AH18" s="695">
        <f>ROUND(AH17*AF7,2)</f>
        <v>0</v>
      </c>
      <c r="AJ18" s="692" t="s">
        <v>767</v>
      </c>
      <c r="AK18" s="693">
        <f>ROUND(AK17*$B$7,2)</f>
        <v>0</v>
      </c>
      <c r="AL18" s="695">
        <f>ROUND(AL17*AK7,2)</f>
        <v>0</v>
      </c>
      <c r="AM18" s="695">
        <f>ROUND(AM17*AK7,2)</f>
        <v>0</v>
      </c>
      <c r="AO18" s="692" t="s">
        <v>767</v>
      </c>
      <c r="AP18" s="693">
        <f>ROUND(AP17*$B$7,2)</f>
        <v>0</v>
      </c>
      <c r="AQ18" s="695">
        <f>ROUND(AQ17*AP7,2)</f>
        <v>0</v>
      </c>
      <c r="AR18" s="695">
        <f>ROUND(AR17*AP7,2)</f>
        <v>0</v>
      </c>
    </row>
    <row r="19" spans="1:44" ht="16" thickBot="1">
      <c r="A19" s="668"/>
      <c r="B19" s="668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551"/>
      <c r="U19" s="668"/>
      <c r="V19" s="668"/>
      <c r="W19" s="668"/>
      <c r="X19" s="668"/>
      <c r="Z19" s="668"/>
      <c r="AA19" s="668"/>
      <c r="AB19" s="668"/>
      <c r="AC19" s="668"/>
      <c r="AE19" s="668"/>
      <c r="AF19" s="668"/>
      <c r="AG19" s="668"/>
      <c r="AH19" s="668"/>
      <c r="AJ19" s="668"/>
      <c r="AK19" s="668"/>
      <c r="AL19" s="668"/>
      <c r="AM19" s="668"/>
      <c r="AO19" s="668"/>
      <c r="AP19" s="668"/>
      <c r="AQ19" s="668"/>
      <c r="AR19" s="668"/>
    </row>
    <row r="20" spans="1:44" ht="16" thickBot="1">
      <c r="A20" s="668"/>
      <c r="B20" s="668"/>
      <c r="C20" s="674" t="s">
        <v>754</v>
      </c>
      <c r="D20" s="675" t="s">
        <v>755</v>
      </c>
      <c r="E20" s="668"/>
      <c r="F20" s="668"/>
      <c r="G20" s="668"/>
      <c r="H20" s="674" t="s">
        <v>754</v>
      </c>
      <c r="I20" s="675" t="s">
        <v>755</v>
      </c>
      <c r="J20" s="668"/>
      <c r="K20" s="668"/>
      <c r="L20" s="668"/>
      <c r="M20" s="674" t="s">
        <v>754</v>
      </c>
      <c r="N20" s="675" t="s">
        <v>755</v>
      </c>
      <c r="O20" s="668"/>
      <c r="P20" s="668"/>
      <c r="Q20" s="668"/>
      <c r="R20" s="674" t="s">
        <v>754</v>
      </c>
      <c r="S20" s="675" t="s">
        <v>755</v>
      </c>
      <c r="T20" s="551"/>
      <c r="U20" s="668"/>
      <c r="V20" s="668"/>
      <c r="W20" s="674" t="s">
        <v>754</v>
      </c>
      <c r="X20" s="675" t="s">
        <v>755</v>
      </c>
      <c r="Z20" s="668"/>
      <c r="AA20" s="668"/>
      <c r="AB20" s="674" t="s">
        <v>754</v>
      </c>
      <c r="AC20" s="675" t="s">
        <v>755</v>
      </c>
      <c r="AE20" s="668"/>
      <c r="AF20" s="668"/>
      <c r="AG20" s="674" t="s">
        <v>754</v>
      </c>
      <c r="AH20" s="675" t="s">
        <v>755</v>
      </c>
      <c r="AJ20" s="668"/>
      <c r="AK20" s="668"/>
      <c r="AL20" s="674" t="s">
        <v>754</v>
      </c>
      <c r="AM20" s="675" t="s">
        <v>755</v>
      </c>
      <c r="AO20" s="668"/>
      <c r="AP20" s="668"/>
      <c r="AQ20" s="674" t="s">
        <v>754</v>
      </c>
      <c r="AR20" s="675" t="s">
        <v>755</v>
      </c>
    </row>
    <row r="21" spans="1:44" s="677" customFormat="1" ht="16">
      <c r="A21" s="676" t="s">
        <v>853</v>
      </c>
      <c r="B21" s="1172" t="s">
        <v>18</v>
      </c>
      <c r="C21" s="1176">
        <f>'Ted Inputs'!E24</f>
        <v>49</v>
      </c>
      <c r="D21" s="1178">
        <f>C21*B24</f>
        <v>980</v>
      </c>
      <c r="E21" s="1179"/>
      <c r="F21" s="676" t="s">
        <v>853</v>
      </c>
      <c r="G21" s="1172" t="s">
        <v>18</v>
      </c>
      <c r="H21" s="1176">
        <f>'Ted Inputs'!E37</f>
        <v>49</v>
      </c>
      <c r="I21" s="1178">
        <f>H21*G24</f>
        <v>980</v>
      </c>
      <c r="J21" s="1179"/>
      <c r="K21" s="676" t="s">
        <v>853</v>
      </c>
      <c r="L21" s="1172" t="s">
        <v>18</v>
      </c>
      <c r="M21" s="1176">
        <f>'Ted Inputs'!E50</f>
        <v>49</v>
      </c>
      <c r="N21" s="1178">
        <f>M21*L24</f>
        <v>980</v>
      </c>
      <c r="O21" s="1180"/>
      <c r="P21" s="676" t="s">
        <v>853</v>
      </c>
      <c r="Q21" s="1172" t="s">
        <v>18</v>
      </c>
      <c r="R21" s="1176">
        <f>'Ted Inputs'!E63</f>
        <v>49</v>
      </c>
      <c r="S21" s="1178">
        <f>R21*Q24</f>
        <v>980</v>
      </c>
      <c r="T21" s="569"/>
      <c r="U21" s="676" t="s">
        <v>853</v>
      </c>
      <c r="V21" s="1172" t="s">
        <v>18</v>
      </c>
      <c r="W21" s="1176">
        <f>'Ted Inputs'!E76</f>
        <v>0</v>
      </c>
      <c r="X21" s="1178">
        <f>W21*V24</f>
        <v>0</v>
      </c>
      <c r="Z21" s="676" t="s">
        <v>853</v>
      </c>
      <c r="AA21" s="1172" t="s">
        <v>18</v>
      </c>
      <c r="AB21" s="1176">
        <f>'Ted Inputs'!E89</f>
        <v>0</v>
      </c>
      <c r="AC21" s="1178">
        <f>AB21*AA24</f>
        <v>0</v>
      </c>
      <c r="AE21" s="676" t="s">
        <v>853</v>
      </c>
      <c r="AF21" s="1172" t="s">
        <v>18</v>
      </c>
      <c r="AG21" s="1176">
        <f>'Ted Inputs'!E102</f>
        <v>0</v>
      </c>
      <c r="AH21" s="1178">
        <f>AG21*AF24</f>
        <v>0</v>
      </c>
      <c r="AJ21" s="676" t="s">
        <v>853</v>
      </c>
      <c r="AK21" s="1172" t="s">
        <v>18</v>
      </c>
      <c r="AL21" s="1176">
        <f>'Ted Inputs'!E115</f>
        <v>0</v>
      </c>
      <c r="AM21" s="1178">
        <f>AL21*AK24</f>
        <v>0</v>
      </c>
      <c r="AO21" s="676" t="s">
        <v>853</v>
      </c>
      <c r="AP21" s="1172" t="s">
        <v>18</v>
      </c>
      <c r="AQ21" s="1176">
        <f>'Ted Inputs'!E128</f>
        <v>0</v>
      </c>
      <c r="AR21" s="1178">
        <f>AQ21*AP24</f>
        <v>0</v>
      </c>
    </row>
    <row r="22" spans="1:44" s="677" customFormat="1" ht="16" thickBot="1">
      <c r="A22" s="678" t="s">
        <v>854</v>
      </c>
      <c r="B22" s="1173"/>
      <c r="C22" s="1177"/>
      <c r="D22" s="1175"/>
      <c r="E22" s="1179"/>
      <c r="F22" s="678" t="s">
        <v>854</v>
      </c>
      <c r="G22" s="1173"/>
      <c r="H22" s="1177"/>
      <c r="I22" s="1175"/>
      <c r="J22" s="1179"/>
      <c r="K22" s="678" t="s">
        <v>854</v>
      </c>
      <c r="L22" s="1173"/>
      <c r="M22" s="1177"/>
      <c r="N22" s="1175"/>
      <c r="O22" s="1180"/>
      <c r="P22" s="678" t="s">
        <v>854</v>
      </c>
      <c r="Q22" s="1173"/>
      <c r="R22" s="1177"/>
      <c r="S22" s="1175"/>
      <c r="T22" s="569"/>
      <c r="U22" s="678" t="s">
        <v>854</v>
      </c>
      <c r="V22" s="1173"/>
      <c r="W22" s="1177"/>
      <c r="X22" s="1175"/>
      <c r="Z22" s="678" t="s">
        <v>854</v>
      </c>
      <c r="AA22" s="1173"/>
      <c r="AB22" s="1177"/>
      <c r="AC22" s="1175"/>
      <c r="AE22" s="678" t="s">
        <v>854</v>
      </c>
      <c r="AF22" s="1173"/>
      <c r="AG22" s="1177"/>
      <c r="AH22" s="1175"/>
      <c r="AJ22" s="678" t="s">
        <v>854</v>
      </c>
      <c r="AK22" s="1173"/>
      <c r="AL22" s="1177"/>
      <c r="AM22" s="1175"/>
      <c r="AO22" s="678" t="s">
        <v>854</v>
      </c>
      <c r="AP22" s="1173"/>
      <c r="AQ22" s="1177"/>
      <c r="AR22" s="1175"/>
    </row>
    <row r="23" spans="1:44" ht="16" thickBot="1">
      <c r="A23" s="679" t="s">
        <v>758</v>
      </c>
      <c r="B23" s="680">
        <f>'Ted Inputs'!G24</f>
        <v>750</v>
      </c>
      <c r="C23" s="681"/>
      <c r="D23" s="681"/>
      <c r="E23" s="668"/>
      <c r="F23" s="679" t="s">
        <v>758</v>
      </c>
      <c r="G23" s="680">
        <f>'Ted Inputs'!G37</f>
        <v>1000</v>
      </c>
      <c r="H23" s="681"/>
      <c r="I23" s="681"/>
      <c r="J23" s="668"/>
      <c r="K23" s="679" t="s">
        <v>758</v>
      </c>
      <c r="L23" s="680">
        <f>'Ted Inputs'!G50</f>
        <v>1250</v>
      </c>
      <c r="M23" s="681"/>
      <c r="N23" s="681"/>
      <c r="O23" s="668"/>
      <c r="P23" s="679" t="s">
        <v>758</v>
      </c>
      <c r="Q23" s="680">
        <f>'Ted Inputs'!G63</f>
        <v>1500</v>
      </c>
      <c r="R23" s="681"/>
      <c r="S23" s="681"/>
      <c r="T23" s="551"/>
      <c r="U23" s="679" t="s">
        <v>758</v>
      </c>
      <c r="V23" s="680">
        <f>'Ted Inputs'!G76</f>
        <v>0</v>
      </c>
      <c r="W23" s="681"/>
      <c r="X23" s="681"/>
      <c r="Z23" s="679" t="s">
        <v>758</v>
      </c>
      <c r="AA23" s="680">
        <f>'Ted Inputs'!G89</f>
        <v>0</v>
      </c>
      <c r="AB23" s="681"/>
      <c r="AC23" s="681"/>
      <c r="AE23" s="679" t="s">
        <v>758</v>
      </c>
      <c r="AF23" s="680">
        <f>'Ted Inputs'!G102</f>
        <v>0</v>
      </c>
      <c r="AG23" s="681"/>
      <c r="AH23" s="681"/>
      <c r="AJ23" s="679" t="s">
        <v>758</v>
      </c>
      <c r="AK23" s="680">
        <f>'Ted Inputs'!G115</f>
        <v>0</v>
      </c>
      <c r="AL23" s="681"/>
      <c r="AM23" s="681"/>
      <c r="AO23" s="679" t="s">
        <v>758</v>
      </c>
      <c r="AP23" s="680">
        <f>'Ted Inputs'!G128</f>
        <v>0</v>
      </c>
      <c r="AQ23" s="681"/>
      <c r="AR23" s="681"/>
    </row>
    <row r="24" spans="1:44" ht="17" thickBot="1">
      <c r="A24" s="682" t="s">
        <v>188</v>
      </c>
      <c r="B24" s="681">
        <f>'Ted Inputs'!I24</f>
        <v>20</v>
      </c>
      <c r="C24" s="681"/>
      <c r="D24" s="683"/>
      <c r="E24" s="668"/>
      <c r="F24" s="682" t="s">
        <v>188</v>
      </c>
      <c r="G24" s="681">
        <f>'Ted Inputs'!I37</f>
        <v>20</v>
      </c>
      <c r="H24" s="681"/>
      <c r="I24" s="683"/>
      <c r="J24" s="668"/>
      <c r="K24" s="682" t="s">
        <v>188</v>
      </c>
      <c r="L24" s="681">
        <f>'Ted Inputs'!I50</f>
        <v>20</v>
      </c>
      <c r="M24" s="681"/>
      <c r="N24" s="683"/>
      <c r="O24" s="668"/>
      <c r="P24" s="682" t="s">
        <v>188</v>
      </c>
      <c r="Q24" s="681">
        <f>'Ted Inputs'!I63</f>
        <v>20</v>
      </c>
      <c r="R24" s="681"/>
      <c r="S24" s="683"/>
      <c r="T24" s="551"/>
      <c r="U24" s="682" t="s">
        <v>188</v>
      </c>
      <c r="V24" s="681">
        <f>'Ted Inputs'!I76</f>
        <v>0</v>
      </c>
      <c r="W24" s="681"/>
      <c r="X24" s="683"/>
      <c r="Z24" s="682" t="s">
        <v>188</v>
      </c>
      <c r="AA24" s="681">
        <f>'Ted Inputs'!I89</f>
        <v>0</v>
      </c>
      <c r="AB24" s="681"/>
      <c r="AC24" s="683"/>
      <c r="AE24" s="682" t="s">
        <v>188</v>
      </c>
      <c r="AF24" s="681">
        <f>'Ted Inputs'!I102</f>
        <v>0</v>
      </c>
      <c r="AG24" s="681"/>
      <c r="AH24" s="683"/>
      <c r="AJ24" s="682" t="s">
        <v>188</v>
      </c>
      <c r="AK24" s="681">
        <f>'Ted Inputs'!I115</f>
        <v>0</v>
      </c>
      <c r="AL24" s="681"/>
      <c r="AM24" s="683"/>
      <c r="AO24" s="682" t="s">
        <v>188</v>
      </c>
      <c r="AP24" s="681">
        <f>'Ted Inputs'!I128</f>
        <v>0</v>
      </c>
      <c r="AQ24" s="681"/>
      <c r="AR24" s="683"/>
    </row>
    <row r="25" spans="1:44" ht="16" thickBot="1">
      <c r="A25" s="679" t="s">
        <v>759</v>
      </c>
      <c r="B25" s="680">
        <f>B23*B24</f>
        <v>15000</v>
      </c>
      <c r="C25" s="684"/>
      <c r="D25" s="685"/>
      <c r="E25" s="668"/>
      <c r="F25" s="679" t="s">
        <v>759</v>
      </c>
      <c r="G25" s="680">
        <f>G23*G24</f>
        <v>20000</v>
      </c>
      <c r="H25" s="684"/>
      <c r="I25" s="685"/>
      <c r="J25" s="668"/>
      <c r="K25" s="679" t="s">
        <v>759</v>
      </c>
      <c r="L25" s="680">
        <f>L23*L24</f>
        <v>25000</v>
      </c>
      <c r="M25" s="684"/>
      <c r="N25" s="685"/>
      <c r="O25" s="668"/>
      <c r="P25" s="679" t="s">
        <v>759</v>
      </c>
      <c r="Q25" s="680">
        <f>Q23*Q24</f>
        <v>30000</v>
      </c>
      <c r="R25" s="684"/>
      <c r="S25" s="685"/>
      <c r="T25" s="551"/>
      <c r="U25" s="679" t="s">
        <v>759</v>
      </c>
      <c r="V25" s="680">
        <f>V23*V24</f>
        <v>0</v>
      </c>
      <c r="W25" s="684"/>
      <c r="X25" s="685"/>
      <c r="Z25" s="679" t="s">
        <v>759</v>
      </c>
      <c r="AA25" s="680">
        <f>AA23*AA24</f>
        <v>0</v>
      </c>
      <c r="AB25" s="684"/>
      <c r="AC25" s="685"/>
      <c r="AE25" s="679" t="s">
        <v>759</v>
      </c>
      <c r="AF25" s="680">
        <f>AF23*AF24</f>
        <v>0</v>
      </c>
      <c r="AG25" s="684"/>
      <c r="AH25" s="685"/>
      <c r="AJ25" s="679" t="s">
        <v>759</v>
      </c>
      <c r="AK25" s="680">
        <f>AK23*AK24</f>
        <v>0</v>
      </c>
      <c r="AL25" s="684"/>
      <c r="AM25" s="685"/>
      <c r="AO25" s="679" t="s">
        <v>759</v>
      </c>
      <c r="AP25" s="680">
        <f>AP23*AP24</f>
        <v>0</v>
      </c>
      <c r="AQ25" s="684"/>
      <c r="AR25" s="685"/>
    </row>
    <row r="26" spans="1:44" ht="16" thickBot="1">
      <c r="A26" s="679" t="s">
        <v>192</v>
      </c>
      <c r="B26" s="681">
        <f>'Ted Inputs'!K24</f>
        <v>8</v>
      </c>
      <c r="C26" s="684"/>
      <c r="D26" s="686"/>
      <c r="E26" s="668"/>
      <c r="F26" s="679" t="s">
        <v>192</v>
      </c>
      <c r="G26" s="681">
        <f>'Ted Inputs'!K37</f>
        <v>8</v>
      </c>
      <c r="H26" s="684"/>
      <c r="I26" s="686"/>
      <c r="J26" s="668"/>
      <c r="K26" s="679" t="s">
        <v>192</v>
      </c>
      <c r="L26" s="681">
        <f>'Ted Inputs'!K50</f>
        <v>8</v>
      </c>
      <c r="M26" s="684"/>
      <c r="N26" s="686"/>
      <c r="O26" s="668"/>
      <c r="P26" s="679" t="s">
        <v>192</v>
      </c>
      <c r="Q26" s="681">
        <f>'Ted Inputs'!K63</f>
        <v>8</v>
      </c>
      <c r="R26" s="684"/>
      <c r="S26" s="686"/>
      <c r="U26" s="679" t="s">
        <v>192</v>
      </c>
      <c r="V26" s="681">
        <f>'Ted Inputs'!K76</f>
        <v>0</v>
      </c>
      <c r="W26" s="684"/>
      <c r="X26" s="686"/>
      <c r="Z26" s="679" t="s">
        <v>192</v>
      </c>
      <c r="AA26" s="681">
        <f>'Ted Inputs'!K89</f>
        <v>0</v>
      </c>
      <c r="AB26" s="684"/>
      <c r="AC26" s="686"/>
      <c r="AE26" s="679" t="s">
        <v>192</v>
      </c>
      <c r="AF26" s="681">
        <f>'Ted Inputs'!K102</f>
        <v>0</v>
      </c>
      <c r="AG26" s="684"/>
      <c r="AH26" s="686"/>
      <c r="AJ26" s="679" t="s">
        <v>192</v>
      </c>
      <c r="AK26" s="681">
        <f>'Ted Inputs'!K115</f>
        <v>0</v>
      </c>
      <c r="AL26" s="684"/>
      <c r="AM26" s="686"/>
      <c r="AO26" s="679" t="s">
        <v>192</v>
      </c>
      <c r="AP26" s="681">
        <f>'Ted Inputs'!K128</f>
        <v>0</v>
      </c>
      <c r="AQ26" s="684"/>
      <c r="AR26" s="686"/>
    </row>
    <row r="27" spans="1:44" ht="16" thickBot="1">
      <c r="A27" s="687" t="s">
        <v>195</v>
      </c>
      <c r="B27" s="681">
        <f>'Ted Inputs'!M24</f>
        <v>7</v>
      </c>
      <c r="C27" s="681"/>
      <c r="D27" s="681"/>
      <c r="E27" s="668"/>
      <c r="F27" s="687" t="s">
        <v>195</v>
      </c>
      <c r="G27" s="681">
        <f>'Ted Inputs'!M37</f>
        <v>7</v>
      </c>
      <c r="H27" s="681"/>
      <c r="I27" s="681"/>
      <c r="J27" s="668"/>
      <c r="K27" s="687" t="s">
        <v>195</v>
      </c>
      <c r="L27" s="681">
        <f>'Ted Inputs'!M50</f>
        <v>7</v>
      </c>
      <c r="M27" s="681"/>
      <c r="N27" s="681"/>
      <c r="O27" s="668"/>
      <c r="P27" s="687" t="s">
        <v>195</v>
      </c>
      <c r="Q27" s="681">
        <f>'Ted Inputs'!M63</f>
        <v>7</v>
      </c>
      <c r="R27" s="681"/>
      <c r="S27" s="681"/>
      <c r="U27" s="687" t="s">
        <v>195</v>
      </c>
      <c r="V27" s="681">
        <f>'Ted Inputs'!M76</f>
        <v>0</v>
      </c>
      <c r="W27" s="681"/>
      <c r="X27" s="681"/>
      <c r="Z27" s="687" t="s">
        <v>195</v>
      </c>
      <c r="AA27" s="681">
        <f>'Ted Inputs'!M89</f>
        <v>0</v>
      </c>
      <c r="AB27" s="681"/>
      <c r="AC27" s="681"/>
      <c r="AE27" s="687" t="s">
        <v>195</v>
      </c>
      <c r="AF27" s="681">
        <f>'Ted Inputs'!M102</f>
        <v>0</v>
      </c>
      <c r="AG27" s="681"/>
      <c r="AH27" s="681"/>
      <c r="AJ27" s="687" t="s">
        <v>195</v>
      </c>
      <c r="AK27" s="681">
        <f>'Ted Inputs'!M115</f>
        <v>0</v>
      </c>
      <c r="AL27" s="681"/>
      <c r="AM27" s="681"/>
      <c r="AO27" s="687" t="s">
        <v>195</v>
      </c>
      <c r="AP27" s="681">
        <f>'Ted Inputs'!M128</f>
        <v>0</v>
      </c>
      <c r="AQ27" s="681"/>
      <c r="AR27" s="681"/>
    </row>
    <row r="28" spans="1:44" ht="16" thickBot="1">
      <c r="A28" s="679" t="s">
        <v>761</v>
      </c>
      <c r="B28" s="680">
        <f>B25*B26</f>
        <v>120000</v>
      </c>
      <c r="C28" s="681"/>
      <c r="D28" s="681"/>
      <c r="E28" s="668"/>
      <c r="F28" s="679" t="s">
        <v>761</v>
      </c>
      <c r="G28" s="680">
        <f>G25*G26</f>
        <v>160000</v>
      </c>
      <c r="H28" s="681"/>
      <c r="I28" s="681"/>
      <c r="J28" s="668"/>
      <c r="K28" s="679" t="s">
        <v>761</v>
      </c>
      <c r="L28" s="680">
        <f>L25*L26</f>
        <v>200000</v>
      </c>
      <c r="M28" s="681"/>
      <c r="N28" s="681"/>
      <c r="O28" s="668"/>
      <c r="P28" s="679" t="s">
        <v>761</v>
      </c>
      <c r="Q28" s="680">
        <f>Q25*Q26</f>
        <v>240000</v>
      </c>
      <c r="R28" s="681"/>
      <c r="S28" s="681"/>
      <c r="U28" s="679" t="s">
        <v>761</v>
      </c>
      <c r="V28" s="680">
        <f>V25*V26</f>
        <v>0</v>
      </c>
      <c r="W28" s="681"/>
      <c r="X28" s="681"/>
      <c r="Z28" s="679" t="s">
        <v>761</v>
      </c>
      <c r="AA28" s="680">
        <f>AA25*AA26</f>
        <v>0</v>
      </c>
      <c r="AB28" s="681"/>
      <c r="AC28" s="681"/>
      <c r="AE28" s="679" t="s">
        <v>761</v>
      </c>
      <c r="AF28" s="680">
        <f>AF25*AF26</f>
        <v>0</v>
      </c>
      <c r="AG28" s="681"/>
      <c r="AH28" s="681"/>
      <c r="AJ28" s="679" t="s">
        <v>761</v>
      </c>
      <c r="AK28" s="680">
        <f>AK25*AK26</f>
        <v>0</v>
      </c>
      <c r="AL28" s="681"/>
      <c r="AM28" s="681"/>
      <c r="AO28" s="679" t="s">
        <v>761</v>
      </c>
      <c r="AP28" s="680">
        <f>AP25*AP26</f>
        <v>0</v>
      </c>
      <c r="AQ28" s="681"/>
      <c r="AR28" s="681"/>
    </row>
    <row r="29" spans="1:44" ht="16" thickBot="1">
      <c r="A29" s="679" t="s">
        <v>762</v>
      </c>
      <c r="B29" s="680">
        <f>B28*B27</f>
        <v>840000</v>
      </c>
      <c r="C29" s="681"/>
      <c r="D29" s="681"/>
      <c r="E29" s="668"/>
      <c r="F29" s="679" t="s">
        <v>762</v>
      </c>
      <c r="G29" s="680">
        <f>G28*G27</f>
        <v>1120000</v>
      </c>
      <c r="H29" s="681"/>
      <c r="I29" s="681"/>
      <c r="J29" s="668"/>
      <c r="K29" s="679" t="s">
        <v>762</v>
      </c>
      <c r="L29" s="680">
        <f>L28*L27</f>
        <v>1400000</v>
      </c>
      <c r="M29" s="681"/>
      <c r="N29" s="681"/>
      <c r="O29" s="668"/>
      <c r="P29" s="679" t="s">
        <v>762</v>
      </c>
      <c r="Q29" s="680">
        <f>Q28*Q27</f>
        <v>1680000</v>
      </c>
      <c r="R29" s="681"/>
      <c r="S29" s="681"/>
      <c r="U29" s="679" t="s">
        <v>762</v>
      </c>
      <c r="V29" s="680">
        <f>V28*V27</f>
        <v>0</v>
      </c>
      <c r="W29" s="681"/>
      <c r="X29" s="681"/>
      <c r="Z29" s="679" t="s">
        <v>762</v>
      </c>
      <c r="AA29" s="680">
        <f>AA28*AA27</f>
        <v>0</v>
      </c>
      <c r="AB29" s="681"/>
      <c r="AC29" s="681"/>
      <c r="AE29" s="679" t="s">
        <v>762</v>
      </c>
      <c r="AF29" s="680">
        <f>AF28*AF27</f>
        <v>0</v>
      </c>
      <c r="AG29" s="681"/>
      <c r="AH29" s="681"/>
      <c r="AJ29" s="679" t="s">
        <v>762</v>
      </c>
      <c r="AK29" s="680">
        <f>AK28*AK27</f>
        <v>0</v>
      </c>
      <c r="AL29" s="681"/>
      <c r="AM29" s="681"/>
      <c r="AO29" s="679" t="s">
        <v>762</v>
      </c>
      <c r="AP29" s="680">
        <f>AP28*AP27</f>
        <v>0</v>
      </c>
      <c r="AQ29" s="681"/>
      <c r="AR29" s="681"/>
    </row>
    <row r="30" spans="1:44" ht="16" thickBot="1">
      <c r="A30" s="679" t="s">
        <v>763</v>
      </c>
      <c r="B30" s="688">
        <f>C34/B29</f>
        <v>0.4375</v>
      </c>
      <c r="C30" s="681"/>
      <c r="D30" s="689"/>
      <c r="E30" s="668"/>
      <c r="F30" s="679" t="s">
        <v>763</v>
      </c>
      <c r="G30" s="688">
        <f>H34/G29</f>
        <v>0.4375</v>
      </c>
      <c r="H30" s="681"/>
      <c r="I30" s="689"/>
      <c r="J30" s="668"/>
      <c r="K30" s="679" t="s">
        <v>763</v>
      </c>
      <c r="L30" s="688">
        <f>M34/L29</f>
        <v>0.4375</v>
      </c>
      <c r="M30" s="681"/>
      <c r="N30" s="689"/>
      <c r="O30" s="668"/>
      <c r="P30" s="679" t="s">
        <v>763</v>
      </c>
      <c r="Q30" s="688">
        <f>R34/Q29</f>
        <v>0.4375</v>
      </c>
      <c r="R30" s="681"/>
      <c r="S30" s="689"/>
      <c r="U30" s="679" t="s">
        <v>763</v>
      </c>
      <c r="V30" s="688" t="e">
        <f>W34/V29</f>
        <v>#DIV/0!</v>
      </c>
      <c r="W30" s="681"/>
      <c r="X30" s="689"/>
      <c r="Z30" s="679" t="s">
        <v>763</v>
      </c>
      <c r="AA30" s="688" t="e">
        <f>AB34/AA29</f>
        <v>#DIV/0!</v>
      </c>
      <c r="AB30" s="681"/>
      <c r="AC30" s="689"/>
      <c r="AE30" s="679" t="s">
        <v>763</v>
      </c>
      <c r="AF30" s="688" t="e">
        <f>AG34/AF29</f>
        <v>#DIV/0!</v>
      </c>
      <c r="AG30" s="681"/>
      <c r="AH30" s="689"/>
      <c r="AJ30" s="679" t="s">
        <v>763</v>
      </c>
      <c r="AK30" s="688" t="e">
        <f>AL34/AK29</f>
        <v>#DIV/0!</v>
      </c>
      <c r="AL30" s="681"/>
      <c r="AM30" s="689"/>
      <c r="AO30" s="679" t="s">
        <v>763</v>
      </c>
      <c r="AP30" s="688" t="e">
        <f>AQ34/AP29</f>
        <v>#DIV/0!</v>
      </c>
      <c r="AQ30" s="681"/>
      <c r="AR30" s="689"/>
    </row>
    <row r="31" spans="1:44" ht="16" thickBot="1">
      <c r="A31" s="690"/>
      <c r="B31" s="691" t="s">
        <v>250</v>
      </c>
      <c r="C31" s="691" t="s">
        <v>764</v>
      </c>
      <c r="D31" s="691" t="s">
        <v>18</v>
      </c>
      <c r="E31" s="668"/>
      <c r="F31" s="690"/>
      <c r="G31" s="691" t="s">
        <v>250</v>
      </c>
      <c r="H31" s="691" t="s">
        <v>764</v>
      </c>
      <c r="I31" s="691" t="s">
        <v>18</v>
      </c>
      <c r="J31" s="668"/>
      <c r="K31" s="690"/>
      <c r="L31" s="691" t="s">
        <v>250</v>
      </c>
      <c r="M31" s="691" t="s">
        <v>764</v>
      </c>
      <c r="N31" s="691" t="s">
        <v>18</v>
      </c>
      <c r="O31" s="668"/>
      <c r="P31" s="690"/>
      <c r="Q31" s="691" t="s">
        <v>250</v>
      </c>
      <c r="R31" s="691" t="s">
        <v>764</v>
      </c>
      <c r="S31" s="691" t="s">
        <v>18</v>
      </c>
      <c r="U31" s="690"/>
      <c r="V31" s="691" t="s">
        <v>250</v>
      </c>
      <c r="W31" s="691" t="s">
        <v>764</v>
      </c>
      <c r="X31" s="691" t="s">
        <v>18</v>
      </c>
      <c r="Z31" s="690"/>
      <c r="AA31" s="691" t="s">
        <v>250</v>
      </c>
      <c r="AB31" s="691" t="s">
        <v>764</v>
      </c>
      <c r="AC31" s="691" t="s">
        <v>18</v>
      </c>
      <c r="AE31" s="690"/>
      <c r="AF31" s="691" t="s">
        <v>250</v>
      </c>
      <c r="AG31" s="691" t="s">
        <v>764</v>
      </c>
      <c r="AH31" s="691" t="s">
        <v>18</v>
      </c>
      <c r="AJ31" s="690"/>
      <c r="AK31" s="691" t="s">
        <v>250</v>
      </c>
      <c r="AL31" s="691" t="s">
        <v>764</v>
      </c>
      <c r="AM31" s="691" t="s">
        <v>18</v>
      </c>
      <c r="AO31" s="690"/>
      <c r="AP31" s="691" t="s">
        <v>250</v>
      </c>
      <c r="AQ31" s="691" t="s">
        <v>764</v>
      </c>
      <c r="AR31" s="691" t="s">
        <v>18</v>
      </c>
    </row>
    <row r="32" spans="1:44" ht="16" thickBot="1">
      <c r="A32" s="692" t="s">
        <v>765</v>
      </c>
      <c r="B32" s="693">
        <f>ROUND(C32*$B$89,2)</f>
        <v>12.25</v>
      </c>
      <c r="C32" s="694">
        <f>ROUND(D32*'Ted Inputs'!$G$11,2)</f>
        <v>24.5</v>
      </c>
      <c r="D32" s="694">
        <f>C21</f>
        <v>49</v>
      </c>
      <c r="E32" s="668"/>
      <c r="F32" s="692" t="s">
        <v>765</v>
      </c>
      <c r="G32" s="693">
        <f>ROUND(H32*$B$89,2)</f>
        <v>12.25</v>
      </c>
      <c r="H32" s="694">
        <f>ROUND(I32*'Ted Inputs'!$G$11,2)</f>
        <v>24.5</v>
      </c>
      <c r="I32" s="694">
        <f>H21</f>
        <v>49</v>
      </c>
      <c r="J32" s="668"/>
      <c r="K32" s="692" t="s">
        <v>765</v>
      </c>
      <c r="L32" s="693">
        <f>ROUND(M32*$B$89,2)</f>
        <v>12.25</v>
      </c>
      <c r="M32" s="694">
        <f>ROUND(N32*'Ted Inputs'!$G$11,2)</f>
        <v>24.5</v>
      </c>
      <c r="N32" s="694">
        <f>M21</f>
        <v>49</v>
      </c>
      <c r="O32" s="668"/>
      <c r="P32" s="692" t="s">
        <v>765</v>
      </c>
      <c r="Q32" s="693">
        <f>ROUND(R32*$B$89,2)</f>
        <v>12.25</v>
      </c>
      <c r="R32" s="694">
        <f>ROUND(S32*'Ted Inputs'!$G$11,2)</f>
        <v>24.5</v>
      </c>
      <c r="S32" s="694">
        <f>R21</f>
        <v>49</v>
      </c>
      <c r="U32" s="692" t="s">
        <v>765</v>
      </c>
      <c r="V32" s="693">
        <f>ROUND(W32*$B$89,2)</f>
        <v>0</v>
      </c>
      <c r="W32" s="694">
        <f>ROUND(X32*'Ted Inputs'!$G$11,2)</f>
        <v>0</v>
      </c>
      <c r="X32" s="694">
        <f>W21</f>
        <v>0</v>
      </c>
      <c r="Z32" s="692" t="s">
        <v>765</v>
      </c>
      <c r="AA32" s="693">
        <f>ROUND(AB32*$B$89,2)</f>
        <v>0</v>
      </c>
      <c r="AB32" s="694">
        <f>ROUND(AC32*'Ted Inputs'!$G$11,2)</f>
        <v>0</v>
      </c>
      <c r="AC32" s="694">
        <f>AB21</f>
        <v>0</v>
      </c>
      <c r="AE32" s="692" t="s">
        <v>765</v>
      </c>
      <c r="AF32" s="693">
        <f>ROUND(AG32*$B$89,2)</f>
        <v>0</v>
      </c>
      <c r="AG32" s="694">
        <f>ROUND(AH32*'Ted Inputs'!$G$11,2)</f>
        <v>0</v>
      </c>
      <c r="AH32" s="694">
        <f>AG21</f>
        <v>0</v>
      </c>
      <c r="AJ32" s="692" t="s">
        <v>765</v>
      </c>
      <c r="AK32" s="693">
        <f>ROUND(AL32*$B$89,2)</f>
        <v>0</v>
      </c>
      <c r="AL32" s="694">
        <f>ROUND(AM32*'Ted Inputs'!$G$11,2)</f>
        <v>0</v>
      </c>
      <c r="AM32" s="694">
        <f>AL21</f>
        <v>0</v>
      </c>
      <c r="AO32" s="692" t="s">
        <v>765</v>
      </c>
      <c r="AP32" s="693">
        <f>ROUND(AQ32*$B$89,2)</f>
        <v>0</v>
      </c>
      <c r="AQ32" s="694">
        <f>ROUND(AR32*'Ted Inputs'!$G$11,2)</f>
        <v>0</v>
      </c>
      <c r="AR32" s="694">
        <f>AQ21</f>
        <v>0</v>
      </c>
    </row>
    <row r="33" spans="1:44" ht="16" thickBot="1">
      <c r="A33" s="692" t="s">
        <v>766</v>
      </c>
      <c r="B33" s="693">
        <f>ROUND(C33*$B$89,2)</f>
        <v>245</v>
      </c>
      <c r="C33" s="695">
        <f>ROUND(D33*'Ted Inputs'!$G$11,2)</f>
        <v>490</v>
      </c>
      <c r="D33" s="695">
        <f>ROUND(D32*B24,2)</f>
        <v>980</v>
      </c>
      <c r="E33" s="668"/>
      <c r="F33" s="692" t="s">
        <v>766</v>
      </c>
      <c r="G33" s="693">
        <f>ROUND(H33*$B$89,2)</f>
        <v>245</v>
      </c>
      <c r="H33" s="695">
        <f>ROUND(I33*'Ted Inputs'!$G$11,2)</f>
        <v>490</v>
      </c>
      <c r="I33" s="695">
        <f>ROUND(I32*G24,2)</f>
        <v>980</v>
      </c>
      <c r="J33" s="668"/>
      <c r="K33" s="692" t="s">
        <v>766</v>
      </c>
      <c r="L33" s="693">
        <f>ROUND(M33*$B$89,2)</f>
        <v>245</v>
      </c>
      <c r="M33" s="695">
        <f>ROUND(N33*'Ted Inputs'!$G$11,2)</f>
        <v>490</v>
      </c>
      <c r="N33" s="695">
        <f>ROUND(N32*L24,2)</f>
        <v>980</v>
      </c>
      <c r="O33" s="668"/>
      <c r="P33" s="692" t="s">
        <v>766</v>
      </c>
      <c r="Q33" s="693">
        <f>ROUND(R33*$B$89,2)</f>
        <v>245</v>
      </c>
      <c r="R33" s="695">
        <f>ROUND(S33*'Ted Inputs'!$G$11,2)</f>
        <v>490</v>
      </c>
      <c r="S33" s="695">
        <f>ROUND(S32*Q24,2)</f>
        <v>980</v>
      </c>
      <c r="U33" s="692" t="s">
        <v>766</v>
      </c>
      <c r="V33" s="693">
        <f>ROUND(W33*$B$89,2)</f>
        <v>0</v>
      </c>
      <c r="W33" s="695">
        <f>ROUND(X33*'Ted Inputs'!$G$11,2)</f>
        <v>0</v>
      </c>
      <c r="X33" s="695">
        <f>ROUND(X32*V24,2)</f>
        <v>0</v>
      </c>
      <c r="Z33" s="692" t="s">
        <v>766</v>
      </c>
      <c r="AA33" s="693">
        <f>ROUND(AB33*$B$89,2)</f>
        <v>0</v>
      </c>
      <c r="AB33" s="695">
        <f>ROUND(AC33*'Ted Inputs'!$G$11,2)</f>
        <v>0</v>
      </c>
      <c r="AC33" s="695">
        <f>ROUND(AC32*AA24,2)</f>
        <v>0</v>
      </c>
      <c r="AE33" s="692" t="s">
        <v>766</v>
      </c>
      <c r="AF33" s="693">
        <f>ROUND(AG33*$B$89,2)</f>
        <v>0</v>
      </c>
      <c r="AG33" s="695">
        <f>ROUND(AH33*'Ted Inputs'!$G$11,2)</f>
        <v>0</v>
      </c>
      <c r="AH33" s="695">
        <f>ROUND(AH32*AF24,2)</f>
        <v>0</v>
      </c>
      <c r="AJ33" s="692" t="s">
        <v>766</v>
      </c>
      <c r="AK33" s="693">
        <f>ROUND(AL33*$B$89,2)</f>
        <v>0</v>
      </c>
      <c r="AL33" s="695">
        <f>ROUND(AM33*'Ted Inputs'!$G$11,2)</f>
        <v>0</v>
      </c>
      <c r="AM33" s="695">
        <f>ROUND(AM32*AK24,2)</f>
        <v>0</v>
      </c>
      <c r="AO33" s="692" t="s">
        <v>766</v>
      </c>
      <c r="AP33" s="693">
        <f>ROUND(AQ33*$B$89,2)</f>
        <v>0</v>
      </c>
      <c r="AQ33" s="695">
        <f>ROUND(AR33*'Ted Inputs'!$G$11,2)</f>
        <v>0</v>
      </c>
      <c r="AR33" s="695">
        <f>ROUND(AR32*AP24,2)</f>
        <v>0</v>
      </c>
    </row>
    <row r="34" spans="1:44" ht="16" thickBot="1">
      <c r="A34" s="692" t="s">
        <v>767</v>
      </c>
      <c r="B34" s="693">
        <f>ROUND(B33*$B23,2)</f>
        <v>183750</v>
      </c>
      <c r="C34" s="695">
        <f>ROUND(C33*B23,2)</f>
        <v>367500</v>
      </c>
      <c r="D34" s="695">
        <f>ROUND(D33*B23,2)</f>
        <v>735000</v>
      </c>
      <c r="E34" s="668"/>
      <c r="F34" s="692" t="s">
        <v>767</v>
      </c>
      <c r="G34" s="693">
        <f>ROUND(G33*$B23,2)</f>
        <v>183750</v>
      </c>
      <c r="H34" s="695">
        <f>ROUND(H33*G23,2)</f>
        <v>490000</v>
      </c>
      <c r="I34" s="695">
        <f>ROUND(I33*G23,2)</f>
        <v>980000</v>
      </c>
      <c r="J34" s="668"/>
      <c r="K34" s="692" t="s">
        <v>767</v>
      </c>
      <c r="L34" s="693">
        <f>ROUND(L33*$B23,2)</f>
        <v>183750</v>
      </c>
      <c r="M34" s="695">
        <f>ROUND(M33*L23,2)</f>
        <v>612500</v>
      </c>
      <c r="N34" s="695">
        <f>ROUND(N33*L23,2)</f>
        <v>1225000</v>
      </c>
      <c r="O34" s="668"/>
      <c r="P34" s="692" t="s">
        <v>767</v>
      </c>
      <c r="Q34" s="693">
        <f>ROUND(Q33*$B23,2)</f>
        <v>183750</v>
      </c>
      <c r="R34" s="695">
        <f>ROUND(R33*Q23,2)</f>
        <v>735000</v>
      </c>
      <c r="S34" s="695">
        <f>ROUND(S33*Q23,2)</f>
        <v>1470000</v>
      </c>
      <c r="U34" s="692" t="s">
        <v>767</v>
      </c>
      <c r="V34" s="693">
        <f>ROUND(V33*$B23,2)</f>
        <v>0</v>
      </c>
      <c r="W34" s="695">
        <f>ROUND(W33*V23,2)</f>
        <v>0</v>
      </c>
      <c r="X34" s="695">
        <f>ROUND(X33*V23,2)</f>
        <v>0</v>
      </c>
      <c r="Z34" s="692" t="s">
        <v>767</v>
      </c>
      <c r="AA34" s="693">
        <f>ROUND(AA33*$B23,2)</f>
        <v>0</v>
      </c>
      <c r="AB34" s="695">
        <f>ROUND(AB33*AA23,2)</f>
        <v>0</v>
      </c>
      <c r="AC34" s="695">
        <f>ROUND(AC33*AA23,2)</f>
        <v>0</v>
      </c>
      <c r="AE34" s="692" t="s">
        <v>767</v>
      </c>
      <c r="AF34" s="693">
        <f>ROUND(AF33*$B23,2)</f>
        <v>0</v>
      </c>
      <c r="AG34" s="695">
        <f>ROUND(AG33*AF23,2)</f>
        <v>0</v>
      </c>
      <c r="AH34" s="695">
        <f>ROUND(AH33*AF23,2)</f>
        <v>0</v>
      </c>
      <c r="AJ34" s="692" t="s">
        <v>767</v>
      </c>
      <c r="AK34" s="693">
        <f>ROUND(AK33*$B23,2)</f>
        <v>0</v>
      </c>
      <c r="AL34" s="695">
        <f>ROUND(AL33*AK23,2)</f>
        <v>0</v>
      </c>
      <c r="AM34" s="695">
        <f>ROUND(AM33*AK23,2)</f>
        <v>0</v>
      </c>
      <c r="AO34" s="692" t="s">
        <v>767</v>
      </c>
      <c r="AP34" s="693">
        <f>ROUND(AP33*$B23,2)</f>
        <v>0</v>
      </c>
      <c r="AQ34" s="695">
        <f>ROUND(AQ33*AP23,2)</f>
        <v>0</v>
      </c>
      <c r="AR34" s="695">
        <f>ROUND(AR33*AP23,2)</f>
        <v>0</v>
      </c>
    </row>
    <row r="35" spans="1:44" ht="16" thickBot="1">
      <c r="A35" s="668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  <c r="Q35" s="668"/>
      <c r="R35" s="668"/>
      <c r="S35" s="668"/>
      <c r="T35" s="551"/>
      <c r="U35" s="668"/>
      <c r="V35" s="668"/>
      <c r="W35" s="668"/>
      <c r="X35" s="668"/>
      <c r="Z35" s="668"/>
      <c r="AA35" s="668"/>
      <c r="AB35" s="668"/>
      <c r="AC35" s="668"/>
      <c r="AE35" s="668"/>
      <c r="AF35" s="668"/>
      <c r="AG35" s="668"/>
      <c r="AH35" s="668"/>
      <c r="AJ35" s="668"/>
      <c r="AK35" s="668"/>
      <c r="AL35" s="668"/>
      <c r="AM35" s="668"/>
      <c r="AO35" s="668"/>
      <c r="AP35" s="668"/>
      <c r="AQ35" s="668"/>
      <c r="AR35" s="668"/>
    </row>
    <row r="36" spans="1:44" ht="16" thickBot="1">
      <c r="A36" s="668"/>
      <c r="B36" s="668"/>
      <c r="C36" s="674" t="s">
        <v>754</v>
      </c>
      <c r="D36" s="675" t="s">
        <v>755</v>
      </c>
      <c r="E36" s="668"/>
      <c r="F36" s="668"/>
      <c r="G36" s="668"/>
      <c r="H36" s="674" t="s">
        <v>754</v>
      </c>
      <c r="I36" s="675" t="s">
        <v>755</v>
      </c>
      <c r="J36" s="668"/>
      <c r="K36" s="668"/>
      <c r="L36" s="668"/>
      <c r="M36" s="674" t="s">
        <v>754</v>
      </c>
      <c r="N36" s="675" t="s">
        <v>755</v>
      </c>
      <c r="O36" s="668"/>
      <c r="P36" s="668"/>
      <c r="Q36" s="668"/>
      <c r="R36" s="674" t="s">
        <v>754</v>
      </c>
      <c r="S36" s="675" t="s">
        <v>755</v>
      </c>
      <c r="T36" s="551"/>
      <c r="U36" s="668"/>
      <c r="V36" s="668"/>
      <c r="W36" s="674" t="s">
        <v>754</v>
      </c>
      <c r="X36" s="675" t="s">
        <v>755</v>
      </c>
      <c r="Z36" s="668"/>
      <c r="AA36" s="668"/>
      <c r="AB36" s="674" t="s">
        <v>754</v>
      </c>
      <c r="AC36" s="675" t="s">
        <v>755</v>
      </c>
      <c r="AE36" s="668"/>
      <c r="AF36" s="668"/>
      <c r="AG36" s="674" t="s">
        <v>754</v>
      </c>
      <c r="AH36" s="675" t="s">
        <v>755</v>
      </c>
      <c r="AJ36" s="668"/>
      <c r="AK36" s="668"/>
      <c r="AL36" s="674" t="s">
        <v>754</v>
      </c>
      <c r="AM36" s="675" t="s">
        <v>755</v>
      </c>
      <c r="AO36" s="668"/>
      <c r="AP36" s="668"/>
      <c r="AQ36" s="674" t="s">
        <v>754</v>
      </c>
      <c r="AR36" s="675" t="s">
        <v>755</v>
      </c>
    </row>
    <row r="37" spans="1:44" s="677" customFormat="1" ht="16">
      <c r="A37" s="676" t="s">
        <v>768</v>
      </c>
      <c r="B37" s="1172" t="s">
        <v>18</v>
      </c>
      <c r="C37" s="1176">
        <f>'Ted Inputs'!E25</f>
        <v>29</v>
      </c>
      <c r="D37" s="1178">
        <f>C37*B40</f>
        <v>1160</v>
      </c>
      <c r="E37" s="1179"/>
      <c r="F37" s="676" t="s">
        <v>768</v>
      </c>
      <c r="G37" s="1172" t="s">
        <v>18</v>
      </c>
      <c r="H37" s="1176">
        <f>'Ted Inputs'!E38</f>
        <v>29</v>
      </c>
      <c r="I37" s="1178">
        <f>H37*G40</f>
        <v>1160</v>
      </c>
      <c r="J37" s="1179"/>
      <c r="K37" s="676" t="s">
        <v>768</v>
      </c>
      <c r="L37" s="1172" t="s">
        <v>18</v>
      </c>
      <c r="M37" s="1176">
        <f>'Ted Inputs'!E51</f>
        <v>29</v>
      </c>
      <c r="N37" s="1178">
        <f>M37*L40</f>
        <v>1160</v>
      </c>
      <c r="O37" s="1180"/>
      <c r="P37" s="676" t="s">
        <v>768</v>
      </c>
      <c r="Q37" s="1172" t="s">
        <v>18</v>
      </c>
      <c r="R37" s="1176">
        <f>'Ted Inputs'!E64</f>
        <v>29</v>
      </c>
      <c r="S37" s="1178">
        <f>R37*Q40</f>
        <v>1160</v>
      </c>
      <c r="T37" s="569"/>
      <c r="U37" s="676" t="s">
        <v>768</v>
      </c>
      <c r="V37" s="1172" t="s">
        <v>18</v>
      </c>
      <c r="W37" s="1176">
        <f>'Ted Inputs'!E77</f>
        <v>0</v>
      </c>
      <c r="X37" s="1178">
        <f>W37*V40</f>
        <v>0</v>
      </c>
      <c r="Z37" s="676" t="s">
        <v>768</v>
      </c>
      <c r="AA37" s="1172" t="s">
        <v>18</v>
      </c>
      <c r="AB37" s="1176">
        <f>'Ted Inputs'!E90</f>
        <v>0</v>
      </c>
      <c r="AC37" s="1178">
        <f>AB37*AA40</f>
        <v>0</v>
      </c>
      <c r="AE37" s="676" t="s">
        <v>768</v>
      </c>
      <c r="AF37" s="1172" t="s">
        <v>18</v>
      </c>
      <c r="AG37" s="1176">
        <f>'Ted Inputs'!E103</f>
        <v>0</v>
      </c>
      <c r="AH37" s="1178">
        <f>AG37*AF40</f>
        <v>0</v>
      </c>
      <c r="AJ37" s="676" t="s">
        <v>768</v>
      </c>
      <c r="AK37" s="1172" t="s">
        <v>18</v>
      </c>
      <c r="AL37" s="1176">
        <f>'Ted Inputs'!E116</f>
        <v>0</v>
      </c>
      <c r="AM37" s="1178">
        <f>AL37*AK40</f>
        <v>0</v>
      </c>
      <c r="AO37" s="676" t="s">
        <v>768</v>
      </c>
      <c r="AP37" s="1172" t="s">
        <v>18</v>
      </c>
      <c r="AQ37" s="1176">
        <f>'Ted Inputs'!E129</f>
        <v>0</v>
      </c>
      <c r="AR37" s="1178">
        <f>AQ37*AP40</f>
        <v>0</v>
      </c>
    </row>
    <row r="38" spans="1:44" s="677" customFormat="1" ht="16" thickBot="1">
      <c r="A38" s="678" t="s">
        <v>769</v>
      </c>
      <c r="B38" s="1173"/>
      <c r="C38" s="1177"/>
      <c r="D38" s="1175"/>
      <c r="E38" s="1179"/>
      <c r="F38" s="678" t="s">
        <v>769</v>
      </c>
      <c r="G38" s="1173"/>
      <c r="H38" s="1177"/>
      <c r="I38" s="1175"/>
      <c r="J38" s="1179"/>
      <c r="K38" s="678" t="s">
        <v>769</v>
      </c>
      <c r="L38" s="1173"/>
      <c r="M38" s="1177"/>
      <c r="N38" s="1175"/>
      <c r="O38" s="1180"/>
      <c r="P38" s="678" t="s">
        <v>769</v>
      </c>
      <c r="Q38" s="1173"/>
      <c r="R38" s="1177"/>
      <c r="S38" s="1175"/>
      <c r="T38" s="569"/>
      <c r="U38" s="678" t="s">
        <v>769</v>
      </c>
      <c r="V38" s="1173"/>
      <c r="W38" s="1177"/>
      <c r="X38" s="1175"/>
      <c r="Z38" s="678" t="s">
        <v>769</v>
      </c>
      <c r="AA38" s="1173"/>
      <c r="AB38" s="1177"/>
      <c r="AC38" s="1175"/>
      <c r="AE38" s="678" t="s">
        <v>769</v>
      </c>
      <c r="AF38" s="1173"/>
      <c r="AG38" s="1177"/>
      <c r="AH38" s="1175"/>
      <c r="AJ38" s="678" t="s">
        <v>769</v>
      </c>
      <c r="AK38" s="1173"/>
      <c r="AL38" s="1177"/>
      <c r="AM38" s="1175"/>
      <c r="AO38" s="678" t="s">
        <v>769</v>
      </c>
      <c r="AP38" s="1173"/>
      <c r="AQ38" s="1177"/>
      <c r="AR38" s="1175"/>
    </row>
    <row r="39" spans="1:44" ht="16" thickBot="1">
      <c r="A39" s="679" t="s">
        <v>758</v>
      </c>
      <c r="B39" s="680">
        <f>'Ted Inputs'!G25</f>
        <v>750</v>
      </c>
      <c r="C39" s="681"/>
      <c r="D39" s="681"/>
      <c r="E39" s="668"/>
      <c r="F39" s="679" t="s">
        <v>758</v>
      </c>
      <c r="G39" s="680">
        <f>'Ted Inputs'!G38</f>
        <v>1000</v>
      </c>
      <c r="H39" s="681"/>
      <c r="I39" s="681"/>
      <c r="J39" s="668"/>
      <c r="K39" s="679" t="s">
        <v>758</v>
      </c>
      <c r="L39" s="680">
        <f>'Ted Inputs'!G51</f>
        <v>1250</v>
      </c>
      <c r="M39" s="681"/>
      <c r="N39" s="681"/>
      <c r="O39" s="668"/>
      <c r="P39" s="679" t="s">
        <v>758</v>
      </c>
      <c r="Q39" s="680">
        <f>'Ted Inputs'!G64</f>
        <v>1500</v>
      </c>
      <c r="R39" s="681"/>
      <c r="S39" s="681"/>
      <c r="T39" s="551"/>
      <c r="U39" s="679" t="s">
        <v>758</v>
      </c>
      <c r="V39" s="680">
        <f>'Ted Inputs'!G77</f>
        <v>0</v>
      </c>
      <c r="W39" s="681"/>
      <c r="X39" s="681"/>
      <c r="Z39" s="679" t="s">
        <v>758</v>
      </c>
      <c r="AA39" s="680">
        <f>'Ted Inputs'!G90</f>
        <v>0</v>
      </c>
      <c r="AB39" s="681"/>
      <c r="AC39" s="681"/>
      <c r="AE39" s="679" t="s">
        <v>758</v>
      </c>
      <c r="AF39" s="680">
        <f>'Ted Inputs'!G103</f>
        <v>0</v>
      </c>
      <c r="AG39" s="681"/>
      <c r="AH39" s="681"/>
      <c r="AJ39" s="679" t="s">
        <v>758</v>
      </c>
      <c r="AK39" s="680">
        <f>'Ted Inputs'!G116</f>
        <v>0</v>
      </c>
      <c r="AL39" s="681"/>
      <c r="AM39" s="681"/>
      <c r="AO39" s="679" t="s">
        <v>758</v>
      </c>
      <c r="AP39" s="680">
        <f>'Ted Inputs'!G129</f>
        <v>0</v>
      </c>
      <c r="AQ39" s="681"/>
      <c r="AR39" s="681"/>
    </row>
    <row r="40" spans="1:44" ht="17" thickBot="1">
      <c r="A40" s="682" t="s">
        <v>188</v>
      </c>
      <c r="B40" s="681">
        <f>'Ted Inputs'!I25</f>
        <v>40</v>
      </c>
      <c r="C40" s="681"/>
      <c r="D40" s="683"/>
      <c r="E40" s="668"/>
      <c r="F40" s="682" t="s">
        <v>188</v>
      </c>
      <c r="G40" s="681">
        <f>'Ted Inputs'!I38</f>
        <v>40</v>
      </c>
      <c r="H40" s="681"/>
      <c r="I40" s="683"/>
      <c r="J40" s="668"/>
      <c r="K40" s="682" t="s">
        <v>188</v>
      </c>
      <c r="L40" s="681">
        <f>'Ted Inputs'!I51</f>
        <v>40</v>
      </c>
      <c r="M40" s="681"/>
      <c r="N40" s="683"/>
      <c r="O40" s="668"/>
      <c r="P40" s="682" t="s">
        <v>188</v>
      </c>
      <c r="Q40" s="681">
        <f>'Ted Inputs'!I64</f>
        <v>40</v>
      </c>
      <c r="R40" s="681"/>
      <c r="S40" s="683"/>
      <c r="T40" s="551"/>
      <c r="U40" s="682" t="s">
        <v>188</v>
      </c>
      <c r="V40" s="681">
        <f>'Ted Inputs'!I77</f>
        <v>0</v>
      </c>
      <c r="W40" s="681"/>
      <c r="X40" s="683"/>
      <c r="Z40" s="682" t="s">
        <v>188</v>
      </c>
      <c r="AA40" s="681">
        <f>'Ted Inputs'!I90</f>
        <v>0</v>
      </c>
      <c r="AB40" s="681"/>
      <c r="AC40" s="683"/>
      <c r="AE40" s="682" t="s">
        <v>188</v>
      </c>
      <c r="AF40" s="681">
        <f>'Ted Inputs'!I103</f>
        <v>0</v>
      </c>
      <c r="AG40" s="681"/>
      <c r="AH40" s="683"/>
      <c r="AJ40" s="682" t="s">
        <v>188</v>
      </c>
      <c r="AK40" s="681">
        <f>'Ted Inputs'!I116</f>
        <v>0</v>
      </c>
      <c r="AL40" s="681"/>
      <c r="AM40" s="683"/>
      <c r="AO40" s="682" t="s">
        <v>188</v>
      </c>
      <c r="AP40" s="681">
        <f>'Ted Inputs'!I129</f>
        <v>0</v>
      </c>
      <c r="AQ40" s="681"/>
      <c r="AR40" s="683"/>
    </row>
    <row r="41" spans="1:44" ht="16" thickBot="1">
      <c r="A41" s="679" t="s">
        <v>759</v>
      </c>
      <c r="B41" s="680">
        <f>B39*B40</f>
        <v>30000</v>
      </c>
      <c r="C41" s="684"/>
      <c r="D41" s="685"/>
      <c r="E41" s="668"/>
      <c r="F41" s="679" t="s">
        <v>759</v>
      </c>
      <c r="G41" s="680">
        <f>G39*G40</f>
        <v>40000</v>
      </c>
      <c r="H41" s="684"/>
      <c r="I41" s="685"/>
      <c r="J41" s="668"/>
      <c r="K41" s="679" t="s">
        <v>759</v>
      </c>
      <c r="L41" s="680">
        <f>L39*L40</f>
        <v>50000</v>
      </c>
      <c r="M41" s="684"/>
      <c r="N41" s="685"/>
      <c r="O41" s="668"/>
      <c r="P41" s="679" t="s">
        <v>759</v>
      </c>
      <c r="Q41" s="680">
        <f>Q39*Q40</f>
        <v>60000</v>
      </c>
      <c r="R41" s="684"/>
      <c r="S41" s="685"/>
      <c r="T41" s="551"/>
      <c r="U41" s="679" t="s">
        <v>759</v>
      </c>
      <c r="V41" s="680">
        <f>V39*V40</f>
        <v>0</v>
      </c>
      <c r="W41" s="684"/>
      <c r="X41" s="685"/>
      <c r="Z41" s="679" t="s">
        <v>759</v>
      </c>
      <c r="AA41" s="680">
        <f>AA39*AA40</f>
        <v>0</v>
      </c>
      <c r="AB41" s="684"/>
      <c r="AC41" s="685"/>
      <c r="AE41" s="679" t="s">
        <v>759</v>
      </c>
      <c r="AF41" s="680">
        <f>AF39*AF40</f>
        <v>0</v>
      </c>
      <c r="AG41" s="684"/>
      <c r="AH41" s="685"/>
      <c r="AJ41" s="679" t="s">
        <v>759</v>
      </c>
      <c r="AK41" s="680">
        <f>AK39*AK40</f>
        <v>0</v>
      </c>
      <c r="AL41" s="684"/>
      <c r="AM41" s="685"/>
      <c r="AO41" s="679" t="s">
        <v>759</v>
      </c>
      <c r="AP41" s="680">
        <f>AP39*AP40</f>
        <v>0</v>
      </c>
      <c r="AQ41" s="684"/>
      <c r="AR41" s="685"/>
    </row>
    <row r="42" spans="1:44" ht="16" thickBot="1">
      <c r="A42" s="679" t="s">
        <v>192</v>
      </c>
      <c r="B42" s="681">
        <f>'Ted Inputs'!K25</f>
        <v>8</v>
      </c>
      <c r="C42" s="684"/>
      <c r="D42" s="686"/>
      <c r="E42" s="668"/>
      <c r="F42" s="679" t="s">
        <v>192</v>
      </c>
      <c r="G42" s="681">
        <f>'Ted Inputs'!K38</f>
        <v>8</v>
      </c>
      <c r="H42" s="684"/>
      <c r="I42" s="686"/>
      <c r="J42" s="668"/>
      <c r="K42" s="679" t="s">
        <v>192</v>
      </c>
      <c r="L42" s="681">
        <f>'Ted Inputs'!K51</f>
        <v>8</v>
      </c>
      <c r="M42" s="684"/>
      <c r="N42" s="686"/>
      <c r="O42" s="668"/>
      <c r="P42" s="679" t="s">
        <v>192</v>
      </c>
      <c r="Q42" s="681">
        <f>'Ted Inputs'!K64</f>
        <v>8</v>
      </c>
      <c r="R42" s="684"/>
      <c r="S42" s="686"/>
      <c r="U42" s="679" t="s">
        <v>192</v>
      </c>
      <c r="V42" s="681">
        <f>'Ted Inputs'!K77</f>
        <v>0</v>
      </c>
      <c r="W42" s="684"/>
      <c r="X42" s="686"/>
      <c r="Z42" s="679" t="s">
        <v>192</v>
      </c>
      <c r="AA42" s="681">
        <f>'Ted Inputs'!K90</f>
        <v>0</v>
      </c>
      <c r="AB42" s="684"/>
      <c r="AC42" s="686"/>
      <c r="AE42" s="679" t="s">
        <v>192</v>
      </c>
      <c r="AF42" s="681">
        <f>'Ted Inputs'!K103</f>
        <v>0</v>
      </c>
      <c r="AG42" s="684"/>
      <c r="AH42" s="686"/>
      <c r="AJ42" s="679" t="s">
        <v>192</v>
      </c>
      <c r="AK42" s="681">
        <f>'Ted Inputs'!K116</f>
        <v>0</v>
      </c>
      <c r="AL42" s="684"/>
      <c r="AM42" s="686"/>
      <c r="AO42" s="679" t="s">
        <v>192</v>
      </c>
      <c r="AP42" s="681">
        <f>'Ted Inputs'!K129</f>
        <v>0</v>
      </c>
      <c r="AQ42" s="684"/>
      <c r="AR42" s="686"/>
    </row>
    <row r="43" spans="1:44" ht="16" thickBot="1">
      <c r="A43" s="687" t="s">
        <v>195</v>
      </c>
      <c r="B43" s="681">
        <f>'Ted Inputs'!M25</f>
        <v>4</v>
      </c>
      <c r="C43" s="681"/>
      <c r="D43" s="681"/>
      <c r="E43" s="668"/>
      <c r="F43" s="687" t="s">
        <v>195</v>
      </c>
      <c r="G43" s="681">
        <f>'Ted Inputs'!M38</f>
        <v>4</v>
      </c>
      <c r="H43" s="681"/>
      <c r="I43" s="681"/>
      <c r="J43" s="668"/>
      <c r="K43" s="687" t="s">
        <v>195</v>
      </c>
      <c r="L43" s="681">
        <f>'Ted Inputs'!M51</f>
        <v>4</v>
      </c>
      <c r="M43" s="681"/>
      <c r="N43" s="681"/>
      <c r="O43" s="668"/>
      <c r="P43" s="687" t="s">
        <v>195</v>
      </c>
      <c r="Q43" s="681">
        <f>'Ted Inputs'!M64</f>
        <v>4</v>
      </c>
      <c r="R43" s="681"/>
      <c r="S43" s="681"/>
      <c r="U43" s="687" t="s">
        <v>195</v>
      </c>
      <c r="V43" s="681">
        <f>'Ted Inputs'!M77</f>
        <v>0</v>
      </c>
      <c r="W43" s="681"/>
      <c r="X43" s="681"/>
      <c r="Z43" s="687" t="s">
        <v>195</v>
      </c>
      <c r="AA43" s="681">
        <f>'Ted Inputs'!M90</f>
        <v>0</v>
      </c>
      <c r="AB43" s="681"/>
      <c r="AC43" s="681"/>
      <c r="AE43" s="687" t="s">
        <v>195</v>
      </c>
      <c r="AF43" s="681">
        <f>'Ted Inputs'!M103</f>
        <v>0</v>
      </c>
      <c r="AG43" s="681"/>
      <c r="AH43" s="681"/>
      <c r="AJ43" s="687" t="s">
        <v>195</v>
      </c>
      <c r="AK43" s="681">
        <f>'Ted Inputs'!M116</f>
        <v>0</v>
      </c>
      <c r="AL43" s="681"/>
      <c r="AM43" s="681"/>
      <c r="AO43" s="687" t="s">
        <v>195</v>
      </c>
      <c r="AP43" s="681">
        <f>'Ted Inputs'!M129</f>
        <v>0</v>
      </c>
      <c r="AQ43" s="681"/>
      <c r="AR43" s="681"/>
    </row>
    <row r="44" spans="1:44" ht="16" thickBot="1">
      <c r="A44" s="679" t="s">
        <v>761</v>
      </c>
      <c r="B44" s="680">
        <f>B41*B42</f>
        <v>240000</v>
      </c>
      <c r="C44" s="681"/>
      <c r="D44" s="681"/>
      <c r="E44" s="668"/>
      <c r="F44" s="679" t="s">
        <v>761</v>
      </c>
      <c r="G44" s="680">
        <f>G41*G42</f>
        <v>320000</v>
      </c>
      <c r="H44" s="681"/>
      <c r="I44" s="681"/>
      <c r="J44" s="668"/>
      <c r="K44" s="679" t="s">
        <v>761</v>
      </c>
      <c r="L44" s="680">
        <f>L41*L42</f>
        <v>400000</v>
      </c>
      <c r="M44" s="681"/>
      <c r="N44" s="681"/>
      <c r="O44" s="668"/>
      <c r="P44" s="679" t="s">
        <v>761</v>
      </c>
      <c r="Q44" s="680">
        <f>Q41*Q42</f>
        <v>480000</v>
      </c>
      <c r="R44" s="681"/>
      <c r="S44" s="681"/>
      <c r="U44" s="679" t="s">
        <v>761</v>
      </c>
      <c r="V44" s="680">
        <f>V41*V42</f>
        <v>0</v>
      </c>
      <c r="W44" s="681"/>
      <c r="X44" s="681"/>
      <c r="Z44" s="679" t="s">
        <v>761</v>
      </c>
      <c r="AA44" s="680">
        <f>AA41*AA42</f>
        <v>0</v>
      </c>
      <c r="AB44" s="681"/>
      <c r="AC44" s="681"/>
      <c r="AE44" s="679" t="s">
        <v>761</v>
      </c>
      <c r="AF44" s="680">
        <f>AF41*AF42</f>
        <v>0</v>
      </c>
      <c r="AG44" s="681"/>
      <c r="AH44" s="681"/>
      <c r="AJ44" s="679" t="s">
        <v>761</v>
      </c>
      <c r="AK44" s="680">
        <f>AK41*AK42</f>
        <v>0</v>
      </c>
      <c r="AL44" s="681"/>
      <c r="AM44" s="681"/>
      <c r="AO44" s="679" t="s">
        <v>761</v>
      </c>
      <c r="AP44" s="680">
        <f>AP41*AP42</f>
        <v>0</v>
      </c>
      <c r="AQ44" s="681"/>
      <c r="AR44" s="681"/>
    </row>
    <row r="45" spans="1:44" ht="16" thickBot="1">
      <c r="A45" s="679" t="s">
        <v>762</v>
      </c>
      <c r="B45" s="680">
        <f>B44*B43</f>
        <v>960000</v>
      </c>
      <c r="C45" s="681"/>
      <c r="D45" s="681"/>
      <c r="E45" s="668"/>
      <c r="F45" s="679" t="s">
        <v>762</v>
      </c>
      <c r="G45" s="680">
        <f>G44*G43</f>
        <v>1280000</v>
      </c>
      <c r="H45" s="681"/>
      <c r="I45" s="681"/>
      <c r="J45" s="668"/>
      <c r="K45" s="679" t="s">
        <v>762</v>
      </c>
      <c r="L45" s="680">
        <f>L44*L43</f>
        <v>1600000</v>
      </c>
      <c r="M45" s="681"/>
      <c r="N45" s="681"/>
      <c r="O45" s="668"/>
      <c r="P45" s="679" t="s">
        <v>762</v>
      </c>
      <c r="Q45" s="680">
        <f>Q44*Q43</f>
        <v>1920000</v>
      </c>
      <c r="R45" s="681"/>
      <c r="S45" s="681"/>
      <c r="U45" s="679" t="s">
        <v>762</v>
      </c>
      <c r="V45" s="680">
        <f>V44*V43</f>
        <v>0</v>
      </c>
      <c r="W45" s="681"/>
      <c r="X45" s="681"/>
      <c r="Z45" s="679" t="s">
        <v>762</v>
      </c>
      <c r="AA45" s="680">
        <f>AA44*AA43</f>
        <v>0</v>
      </c>
      <c r="AB45" s="681"/>
      <c r="AC45" s="681"/>
      <c r="AE45" s="679" t="s">
        <v>762</v>
      </c>
      <c r="AF45" s="680">
        <f>AF44*AF43</f>
        <v>0</v>
      </c>
      <c r="AG45" s="681"/>
      <c r="AH45" s="681"/>
      <c r="AJ45" s="679" t="s">
        <v>762</v>
      </c>
      <c r="AK45" s="680">
        <f>AK44*AK43</f>
        <v>0</v>
      </c>
      <c r="AL45" s="681"/>
      <c r="AM45" s="681"/>
      <c r="AO45" s="679" t="s">
        <v>762</v>
      </c>
      <c r="AP45" s="680">
        <f>AP44*AP43</f>
        <v>0</v>
      </c>
      <c r="AQ45" s="681"/>
      <c r="AR45" s="681"/>
    </row>
    <row r="46" spans="1:44" ht="16" thickBot="1">
      <c r="A46" s="679" t="s">
        <v>763</v>
      </c>
      <c r="B46" s="688">
        <f>C50/B45</f>
        <v>0.453125</v>
      </c>
      <c r="C46" s="681"/>
      <c r="D46" s="689"/>
      <c r="E46" s="668"/>
      <c r="F46" s="679" t="s">
        <v>763</v>
      </c>
      <c r="G46" s="688">
        <f>H50/G45</f>
        <v>0.453125</v>
      </c>
      <c r="H46" s="681"/>
      <c r="I46" s="689"/>
      <c r="J46" s="668"/>
      <c r="K46" s="679" t="s">
        <v>763</v>
      </c>
      <c r="L46" s="688">
        <f>M50/L45</f>
        <v>0.453125</v>
      </c>
      <c r="M46" s="681"/>
      <c r="N46" s="689"/>
      <c r="O46" s="668"/>
      <c r="P46" s="679" t="s">
        <v>763</v>
      </c>
      <c r="Q46" s="688">
        <f>R50/Q45</f>
        <v>0.453125</v>
      </c>
      <c r="R46" s="681"/>
      <c r="S46" s="689"/>
      <c r="U46" s="679" t="s">
        <v>763</v>
      </c>
      <c r="V46" s="688" t="e">
        <f>W50/V45</f>
        <v>#DIV/0!</v>
      </c>
      <c r="W46" s="681"/>
      <c r="X46" s="689"/>
      <c r="Z46" s="679" t="s">
        <v>763</v>
      </c>
      <c r="AA46" s="688" t="e">
        <f>AB50/AA45</f>
        <v>#DIV/0!</v>
      </c>
      <c r="AB46" s="681"/>
      <c r="AC46" s="689"/>
      <c r="AE46" s="679" t="s">
        <v>763</v>
      </c>
      <c r="AF46" s="688" t="e">
        <f>AG50/AF45</f>
        <v>#DIV/0!</v>
      </c>
      <c r="AG46" s="681"/>
      <c r="AH46" s="689"/>
      <c r="AJ46" s="679" t="s">
        <v>763</v>
      </c>
      <c r="AK46" s="688" t="e">
        <f>AL50/AK45</f>
        <v>#DIV/0!</v>
      </c>
      <c r="AL46" s="681"/>
      <c r="AM46" s="689"/>
      <c r="AO46" s="679" t="s">
        <v>763</v>
      </c>
      <c r="AP46" s="688" t="e">
        <f>AQ50/AP45</f>
        <v>#DIV/0!</v>
      </c>
      <c r="AQ46" s="681"/>
      <c r="AR46" s="689"/>
    </row>
    <row r="47" spans="1:44" ht="16" thickBot="1">
      <c r="A47" s="690"/>
      <c r="B47" s="691" t="s">
        <v>250</v>
      </c>
      <c r="C47" s="691" t="s">
        <v>764</v>
      </c>
      <c r="D47" s="691" t="s">
        <v>18</v>
      </c>
      <c r="E47" s="668"/>
      <c r="F47" s="690"/>
      <c r="G47" s="691" t="s">
        <v>250</v>
      </c>
      <c r="H47" s="691" t="s">
        <v>764</v>
      </c>
      <c r="I47" s="691" t="s">
        <v>18</v>
      </c>
      <c r="J47" s="668"/>
      <c r="K47" s="690"/>
      <c r="L47" s="691" t="s">
        <v>250</v>
      </c>
      <c r="M47" s="691" t="s">
        <v>764</v>
      </c>
      <c r="N47" s="691" t="s">
        <v>18</v>
      </c>
      <c r="O47" s="668"/>
      <c r="P47" s="690"/>
      <c r="Q47" s="691" t="s">
        <v>250</v>
      </c>
      <c r="R47" s="691" t="s">
        <v>764</v>
      </c>
      <c r="S47" s="691" t="s">
        <v>18</v>
      </c>
      <c r="U47" s="690"/>
      <c r="V47" s="691" t="s">
        <v>250</v>
      </c>
      <c r="W47" s="691" t="s">
        <v>764</v>
      </c>
      <c r="X47" s="691" t="s">
        <v>18</v>
      </c>
      <c r="Z47" s="690"/>
      <c r="AA47" s="691" t="s">
        <v>250</v>
      </c>
      <c r="AB47" s="691" t="s">
        <v>764</v>
      </c>
      <c r="AC47" s="691" t="s">
        <v>18</v>
      </c>
      <c r="AE47" s="690"/>
      <c r="AF47" s="691" t="s">
        <v>250</v>
      </c>
      <c r="AG47" s="691" t="s">
        <v>764</v>
      </c>
      <c r="AH47" s="691" t="s">
        <v>18</v>
      </c>
      <c r="AJ47" s="690"/>
      <c r="AK47" s="691" t="s">
        <v>250</v>
      </c>
      <c r="AL47" s="691" t="s">
        <v>764</v>
      </c>
      <c r="AM47" s="691" t="s">
        <v>18</v>
      </c>
      <c r="AO47" s="690"/>
      <c r="AP47" s="691" t="s">
        <v>250</v>
      </c>
      <c r="AQ47" s="691" t="s">
        <v>764</v>
      </c>
      <c r="AR47" s="691" t="s">
        <v>18</v>
      </c>
    </row>
    <row r="48" spans="1:44" ht="16" thickBot="1">
      <c r="A48" s="692" t="s">
        <v>765</v>
      </c>
      <c r="B48" s="693">
        <f>ROUND(C48*$B$89,2)</f>
        <v>7.25</v>
      </c>
      <c r="C48" s="694">
        <f>ROUND(D48*'Ted Inputs'!$G$11,2)</f>
        <v>14.5</v>
      </c>
      <c r="D48" s="694">
        <f>C37</f>
        <v>29</v>
      </c>
      <c r="E48" s="668"/>
      <c r="F48" s="692" t="s">
        <v>765</v>
      </c>
      <c r="G48" s="693">
        <f>ROUND(H48*$B$89,2)</f>
        <v>7.25</v>
      </c>
      <c r="H48" s="694">
        <f>ROUND(I48*'Ted Inputs'!$G$11,2)</f>
        <v>14.5</v>
      </c>
      <c r="I48" s="694">
        <f>H37</f>
        <v>29</v>
      </c>
      <c r="J48" s="668"/>
      <c r="K48" s="692" t="s">
        <v>765</v>
      </c>
      <c r="L48" s="693">
        <f>ROUND(M48*$B$89,2)</f>
        <v>7.25</v>
      </c>
      <c r="M48" s="694">
        <f>ROUND(N48*'Ted Inputs'!$G$11,2)</f>
        <v>14.5</v>
      </c>
      <c r="N48" s="694">
        <f>M37</f>
        <v>29</v>
      </c>
      <c r="O48" s="668"/>
      <c r="P48" s="692" t="s">
        <v>765</v>
      </c>
      <c r="Q48" s="693">
        <f>ROUND(R48*$B$89,2)</f>
        <v>7.25</v>
      </c>
      <c r="R48" s="694">
        <f>ROUND(S48*'Ted Inputs'!$G$11,2)</f>
        <v>14.5</v>
      </c>
      <c r="S48" s="694">
        <f>R37</f>
        <v>29</v>
      </c>
      <c r="U48" s="692" t="s">
        <v>765</v>
      </c>
      <c r="V48" s="693">
        <f>ROUND(W48*$B$89,2)</f>
        <v>0</v>
      </c>
      <c r="W48" s="694">
        <f>ROUND(X48*'Ted Inputs'!$G$11,2)</f>
        <v>0</v>
      </c>
      <c r="X48" s="694">
        <f>W37</f>
        <v>0</v>
      </c>
      <c r="Z48" s="692" t="s">
        <v>765</v>
      </c>
      <c r="AA48" s="693">
        <f>ROUND(AB48*$B$89,2)</f>
        <v>0</v>
      </c>
      <c r="AB48" s="694">
        <f>ROUND(AC48*'Ted Inputs'!$G$11,2)</f>
        <v>0</v>
      </c>
      <c r="AC48" s="694">
        <f>AB37</f>
        <v>0</v>
      </c>
      <c r="AE48" s="692" t="s">
        <v>765</v>
      </c>
      <c r="AF48" s="693">
        <f>ROUND(AG48*$B$89,2)</f>
        <v>0</v>
      </c>
      <c r="AG48" s="694">
        <f>ROUND(AH48*'Ted Inputs'!$G$11,2)</f>
        <v>0</v>
      </c>
      <c r="AH48" s="694">
        <f>AG37</f>
        <v>0</v>
      </c>
      <c r="AJ48" s="692" t="s">
        <v>765</v>
      </c>
      <c r="AK48" s="693">
        <f>ROUND(AL48*$B$89,2)</f>
        <v>0</v>
      </c>
      <c r="AL48" s="694">
        <f>ROUND(AM48*'Ted Inputs'!$G$11,2)</f>
        <v>0</v>
      </c>
      <c r="AM48" s="694">
        <f>AL37</f>
        <v>0</v>
      </c>
      <c r="AO48" s="692" t="s">
        <v>765</v>
      </c>
      <c r="AP48" s="693">
        <f>ROUND(AQ48*$B$89,2)</f>
        <v>0</v>
      </c>
      <c r="AQ48" s="694">
        <f>ROUND(AR48*'Ted Inputs'!$G$11,2)</f>
        <v>0</v>
      </c>
      <c r="AR48" s="694">
        <f>AQ37</f>
        <v>0</v>
      </c>
    </row>
    <row r="49" spans="1:44" ht="16" thickBot="1">
      <c r="A49" s="692" t="s">
        <v>766</v>
      </c>
      <c r="B49" s="693">
        <f>ROUND(C49*$B$89,2)</f>
        <v>290</v>
      </c>
      <c r="C49" s="695">
        <f>ROUND(D49*'Ted Inputs'!$G$11,2)</f>
        <v>580</v>
      </c>
      <c r="D49" s="695">
        <f>ROUND(D48*B40,2)</f>
        <v>1160</v>
      </c>
      <c r="E49" s="668"/>
      <c r="F49" s="692" t="s">
        <v>766</v>
      </c>
      <c r="G49" s="693">
        <f>ROUND(H49*$B$89,2)</f>
        <v>290</v>
      </c>
      <c r="H49" s="695">
        <f>ROUND(I49*'Ted Inputs'!$G$11,2)</f>
        <v>580</v>
      </c>
      <c r="I49" s="695">
        <f>ROUND(I48*G40,2)</f>
        <v>1160</v>
      </c>
      <c r="J49" s="668"/>
      <c r="K49" s="692" t="s">
        <v>766</v>
      </c>
      <c r="L49" s="693">
        <f>ROUND(M49*$B$89,2)</f>
        <v>290</v>
      </c>
      <c r="M49" s="695">
        <f>ROUND(N49*'Ted Inputs'!$G$11,2)</f>
        <v>580</v>
      </c>
      <c r="N49" s="695">
        <f>ROUND(N48*L40,2)</f>
        <v>1160</v>
      </c>
      <c r="O49" s="668"/>
      <c r="P49" s="692" t="s">
        <v>766</v>
      </c>
      <c r="Q49" s="693">
        <f>ROUND(R49*$B$89,2)</f>
        <v>290</v>
      </c>
      <c r="R49" s="695">
        <f>ROUND(S49*'Ted Inputs'!$G$11,2)</f>
        <v>580</v>
      </c>
      <c r="S49" s="695">
        <f>ROUND(S48*Q40,2)</f>
        <v>1160</v>
      </c>
      <c r="U49" s="692" t="s">
        <v>766</v>
      </c>
      <c r="V49" s="693">
        <f>ROUND(W49*$B$89,2)</f>
        <v>0</v>
      </c>
      <c r="W49" s="695">
        <f>ROUND(X49*'Ted Inputs'!$G$11,2)</f>
        <v>0</v>
      </c>
      <c r="X49" s="695">
        <f>ROUND(X48*V40,2)</f>
        <v>0</v>
      </c>
      <c r="Z49" s="692" t="s">
        <v>766</v>
      </c>
      <c r="AA49" s="693">
        <f>ROUND(AB49*$B$89,2)</f>
        <v>0</v>
      </c>
      <c r="AB49" s="695">
        <f>ROUND(AC49*'Ted Inputs'!$G$11,2)</f>
        <v>0</v>
      </c>
      <c r="AC49" s="695">
        <f>ROUND(AC48*AA40,2)</f>
        <v>0</v>
      </c>
      <c r="AE49" s="692" t="s">
        <v>766</v>
      </c>
      <c r="AF49" s="693">
        <f>ROUND(AG49*$B$89,2)</f>
        <v>0</v>
      </c>
      <c r="AG49" s="695">
        <f>ROUND(AH49*'Ted Inputs'!$G$11,2)</f>
        <v>0</v>
      </c>
      <c r="AH49" s="695">
        <f>ROUND(AH48*AF40,2)</f>
        <v>0</v>
      </c>
      <c r="AJ49" s="692" t="s">
        <v>766</v>
      </c>
      <c r="AK49" s="693">
        <f>ROUND(AL49*$B$89,2)</f>
        <v>0</v>
      </c>
      <c r="AL49" s="695">
        <f>ROUND(AM49*'Ted Inputs'!$G$11,2)</f>
        <v>0</v>
      </c>
      <c r="AM49" s="695">
        <f>ROUND(AM48*AK40,2)</f>
        <v>0</v>
      </c>
      <c r="AO49" s="692" t="s">
        <v>766</v>
      </c>
      <c r="AP49" s="693">
        <f>ROUND(AQ49*$B$89,2)</f>
        <v>0</v>
      </c>
      <c r="AQ49" s="695">
        <f>ROUND(AR49*'Ted Inputs'!$G$11,2)</f>
        <v>0</v>
      </c>
      <c r="AR49" s="695">
        <f>ROUND(AR48*AP40,2)</f>
        <v>0</v>
      </c>
    </row>
    <row r="50" spans="1:44" ht="16" thickBot="1">
      <c r="A50" s="692" t="s">
        <v>767</v>
      </c>
      <c r="B50" s="693">
        <f>ROUND(B49*$B39,2)</f>
        <v>217500</v>
      </c>
      <c r="C50" s="695">
        <f>ROUND(C49*B39,2)</f>
        <v>435000</v>
      </c>
      <c r="D50" s="695">
        <f>ROUND(D49*B39,2)</f>
        <v>870000</v>
      </c>
      <c r="E50" s="668"/>
      <c r="F50" s="692" t="s">
        <v>767</v>
      </c>
      <c r="G50" s="693">
        <f>ROUND(G49*$B39,2)</f>
        <v>217500</v>
      </c>
      <c r="H50" s="695">
        <f>ROUND(H49*G39,2)</f>
        <v>580000</v>
      </c>
      <c r="I50" s="695">
        <f>ROUND(I49*G39,2)</f>
        <v>1160000</v>
      </c>
      <c r="J50" s="668"/>
      <c r="K50" s="692" t="s">
        <v>767</v>
      </c>
      <c r="L50" s="693">
        <f>ROUND(L49*$B39,2)</f>
        <v>217500</v>
      </c>
      <c r="M50" s="695">
        <f>ROUND(M49*L39,2)</f>
        <v>725000</v>
      </c>
      <c r="N50" s="695">
        <f>ROUND(N49*L39,2)</f>
        <v>1450000</v>
      </c>
      <c r="O50" s="668"/>
      <c r="P50" s="692" t="s">
        <v>767</v>
      </c>
      <c r="Q50" s="693">
        <f>ROUND(Q49*$B39,2)</f>
        <v>217500</v>
      </c>
      <c r="R50" s="695">
        <f>ROUND(R49*Q39,2)</f>
        <v>870000</v>
      </c>
      <c r="S50" s="695">
        <f>ROUND(S49*Q39,2)</f>
        <v>1740000</v>
      </c>
      <c r="U50" s="692" t="s">
        <v>767</v>
      </c>
      <c r="V50" s="693">
        <f>ROUND(V49*$B39,2)</f>
        <v>0</v>
      </c>
      <c r="W50" s="695">
        <f>ROUND(W49*V39,2)</f>
        <v>0</v>
      </c>
      <c r="X50" s="695">
        <f>ROUND(X49*V39,2)</f>
        <v>0</v>
      </c>
      <c r="Z50" s="692" t="s">
        <v>767</v>
      </c>
      <c r="AA50" s="693">
        <f>ROUND(AA49*$B39,2)</f>
        <v>0</v>
      </c>
      <c r="AB50" s="695">
        <f>ROUND(AB49*AA39,2)</f>
        <v>0</v>
      </c>
      <c r="AC50" s="695">
        <f>ROUND(AC49*AA39,2)</f>
        <v>0</v>
      </c>
      <c r="AE50" s="692" t="s">
        <v>767</v>
      </c>
      <c r="AF50" s="693">
        <f>ROUND(AF49*$B39,2)</f>
        <v>0</v>
      </c>
      <c r="AG50" s="695">
        <f>ROUND(AG49*AF39,2)</f>
        <v>0</v>
      </c>
      <c r="AH50" s="695">
        <f>ROUND(AH49*AF39,2)</f>
        <v>0</v>
      </c>
      <c r="AJ50" s="692" t="s">
        <v>767</v>
      </c>
      <c r="AK50" s="693">
        <f>ROUND(AK49*$B39,2)</f>
        <v>0</v>
      </c>
      <c r="AL50" s="695">
        <f>ROUND(AL49*AK39,2)</f>
        <v>0</v>
      </c>
      <c r="AM50" s="695">
        <f>ROUND(AM49*AK39,2)</f>
        <v>0</v>
      </c>
      <c r="AO50" s="692" t="s">
        <v>767</v>
      </c>
      <c r="AP50" s="693">
        <f>ROUND(AP49*$B39,2)</f>
        <v>0</v>
      </c>
      <c r="AQ50" s="695">
        <f>ROUND(AQ49*AP39,2)</f>
        <v>0</v>
      </c>
      <c r="AR50" s="695">
        <f>ROUND(AR49*AP39,2)</f>
        <v>0</v>
      </c>
    </row>
    <row r="51" spans="1:44" ht="16" thickBot="1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8"/>
      <c r="P51" s="668"/>
      <c r="Q51" s="668"/>
      <c r="R51" s="668"/>
      <c r="S51" s="668"/>
      <c r="U51" s="668"/>
      <c r="V51" s="668"/>
      <c r="W51" s="668"/>
      <c r="X51" s="668"/>
      <c r="Z51" s="668"/>
      <c r="AA51" s="668"/>
      <c r="AB51" s="668"/>
      <c r="AC51" s="668"/>
      <c r="AE51" s="668"/>
      <c r="AF51" s="668"/>
      <c r="AG51" s="668"/>
      <c r="AH51" s="668"/>
      <c r="AJ51" s="668"/>
      <c r="AK51" s="668"/>
      <c r="AL51" s="668"/>
      <c r="AM51" s="668"/>
      <c r="AO51" s="668"/>
      <c r="AP51" s="668"/>
      <c r="AQ51" s="668"/>
      <c r="AR51" s="668"/>
    </row>
    <row r="52" spans="1:44" ht="16" thickBot="1">
      <c r="A52" s="668"/>
      <c r="B52" s="668"/>
      <c r="C52" s="674" t="s">
        <v>754</v>
      </c>
      <c r="D52" s="675" t="s">
        <v>755</v>
      </c>
      <c r="E52" s="668"/>
      <c r="F52" s="668"/>
      <c r="G52" s="668"/>
      <c r="H52" s="674" t="s">
        <v>754</v>
      </c>
      <c r="I52" s="675" t="s">
        <v>755</v>
      </c>
      <c r="J52" s="668"/>
      <c r="K52" s="668"/>
      <c r="L52" s="668"/>
      <c r="M52" s="674" t="s">
        <v>754</v>
      </c>
      <c r="N52" s="675" t="s">
        <v>755</v>
      </c>
      <c r="O52" s="668"/>
      <c r="P52" s="668"/>
      <c r="Q52" s="668"/>
      <c r="R52" s="674" t="s">
        <v>754</v>
      </c>
      <c r="S52" s="675" t="s">
        <v>755</v>
      </c>
      <c r="U52" s="668"/>
      <c r="V52" s="668"/>
      <c r="W52" s="674" t="s">
        <v>754</v>
      </c>
      <c r="X52" s="675" t="s">
        <v>755</v>
      </c>
      <c r="Z52" s="668"/>
      <c r="AA52" s="668"/>
      <c r="AB52" s="674" t="s">
        <v>754</v>
      </c>
      <c r="AC52" s="675" t="s">
        <v>755</v>
      </c>
      <c r="AE52" s="668"/>
      <c r="AF52" s="668"/>
      <c r="AG52" s="674" t="s">
        <v>754</v>
      </c>
      <c r="AH52" s="675" t="s">
        <v>755</v>
      </c>
      <c r="AJ52" s="668"/>
      <c r="AK52" s="668"/>
      <c r="AL52" s="674" t="s">
        <v>754</v>
      </c>
      <c r="AM52" s="675" t="s">
        <v>755</v>
      </c>
      <c r="AO52" s="668"/>
      <c r="AP52" s="668"/>
      <c r="AQ52" s="674" t="s">
        <v>754</v>
      </c>
      <c r="AR52" s="675" t="s">
        <v>755</v>
      </c>
    </row>
    <row r="53" spans="1:44" s="677" customFormat="1" ht="16">
      <c r="A53" s="676" t="s">
        <v>770</v>
      </c>
      <c r="B53" s="1172" t="s">
        <v>18</v>
      </c>
      <c r="C53" s="1176">
        <f>'Ted Inputs'!E26</f>
        <v>14.99</v>
      </c>
      <c r="D53" s="1178">
        <f>C53*B56</f>
        <v>359.76</v>
      </c>
      <c r="E53" s="1179"/>
      <c r="F53" s="676" t="s">
        <v>770</v>
      </c>
      <c r="G53" s="1172" t="s">
        <v>18</v>
      </c>
      <c r="H53" s="1176">
        <f>'Ted Inputs'!E39</f>
        <v>14.99</v>
      </c>
      <c r="I53" s="1178">
        <f>H53*G56</f>
        <v>359.76</v>
      </c>
      <c r="J53" s="1179"/>
      <c r="K53" s="676" t="s">
        <v>770</v>
      </c>
      <c r="L53" s="1172" t="s">
        <v>18</v>
      </c>
      <c r="M53" s="1176">
        <f>'Ted Inputs'!E52</f>
        <v>14.99</v>
      </c>
      <c r="N53" s="1178">
        <f>M53*L56</f>
        <v>359.76</v>
      </c>
      <c r="O53" s="1180"/>
      <c r="P53" s="676" t="s">
        <v>770</v>
      </c>
      <c r="Q53" s="1172" t="s">
        <v>18</v>
      </c>
      <c r="R53" s="1176">
        <f>'Ted Inputs'!E65</f>
        <v>14.99</v>
      </c>
      <c r="S53" s="1178">
        <f>R53*Q56</f>
        <v>359.76</v>
      </c>
      <c r="U53" s="676" t="s">
        <v>770</v>
      </c>
      <c r="V53" s="1172" t="s">
        <v>18</v>
      </c>
      <c r="W53" s="1176">
        <f>'Ted Inputs'!E78</f>
        <v>0</v>
      </c>
      <c r="X53" s="1178">
        <f>W53*V56</f>
        <v>0</v>
      </c>
      <c r="Z53" s="676" t="s">
        <v>770</v>
      </c>
      <c r="AA53" s="1172" t="s">
        <v>18</v>
      </c>
      <c r="AB53" s="1176">
        <f>'Ted Inputs'!E91</f>
        <v>0</v>
      </c>
      <c r="AC53" s="1178">
        <f>AB53*AA56</f>
        <v>0</v>
      </c>
      <c r="AE53" s="676" t="s">
        <v>770</v>
      </c>
      <c r="AF53" s="1172" t="s">
        <v>18</v>
      </c>
      <c r="AG53" s="1176">
        <f>'Ted Inputs'!E104</f>
        <v>0</v>
      </c>
      <c r="AH53" s="1178">
        <f>AG53*AF56</f>
        <v>0</v>
      </c>
      <c r="AJ53" s="676" t="s">
        <v>770</v>
      </c>
      <c r="AK53" s="1172" t="s">
        <v>18</v>
      </c>
      <c r="AL53" s="1176">
        <f>'Ted Inputs'!E117</f>
        <v>0</v>
      </c>
      <c r="AM53" s="1178">
        <f>AL53*AK56</f>
        <v>0</v>
      </c>
      <c r="AO53" s="676" t="s">
        <v>770</v>
      </c>
      <c r="AP53" s="1172" t="s">
        <v>18</v>
      </c>
      <c r="AQ53" s="1176">
        <f>'Ted Inputs'!E130</f>
        <v>0</v>
      </c>
      <c r="AR53" s="1178">
        <f>AQ53*AP56</f>
        <v>0</v>
      </c>
    </row>
    <row r="54" spans="1:44" s="677" customFormat="1" ht="16" thickBot="1">
      <c r="A54" s="678" t="s">
        <v>771</v>
      </c>
      <c r="B54" s="1173"/>
      <c r="C54" s="1177"/>
      <c r="D54" s="1175"/>
      <c r="E54" s="1179"/>
      <c r="F54" s="678" t="s">
        <v>771</v>
      </c>
      <c r="G54" s="1173"/>
      <c r="H54" s="1177"/>
      <c r="I54" s="1175"/>
      <c r="J54" s="1179"/>
      <c r="K54" s="678" t="s">
        <v>771</v>
      </c>
      <c r="L54" s="1173"/>
      <c r="M54" s="1177"/>
      <c r="N54" s="1175"/>
      <c r="O54" s="1180"/>
      <c r="P54" s="678" t="s">
        <v>771</v>
      </c>
      <c r="Q54" s="1173"/>
      <c r="R54" s="1177"/>
      <c r="S54" s="1175"/>
      <c r="U54" s="678" t="s">
        <v>771</v>
      </c>
      <c r="V54" s="1173"/>
      <c r="W54" s="1177"/>
      <c r="X54" s="1175"/>
      <c r="Z54" s="678" t="s">
        <v>771</v>
      </c>
      <c r="AA54" s="1173"/>
      <c r="AB54" s="1177"/>
      <c r="AC54" s="1175"/>
      <c r="AE54" s="678" t="s">
        <v>771</v>
      </c>
      <c r="AF54" s="1173"/>
      <c r="AG54" s="1177"/>
      <c r="AH54" s="1175"/>
      <c r="AJ54" s="678" t="s">
        <v>771</v>
      </c>
      <c r="AK54" s="1173"/>
      <c r="AL54" s="1177"/>
      <c r="AM54" s="1175"/>
      <c r="AO54" s="678" t="s">
        <v>771</v>
      </c>
      <c r="AP54" s="1173"/>
      <c r="AQ54" s="1177"/>
      <c r="AR54" s="1175"/>
    </row>
    <row r="55" spans="1:44" ht="16" thickBot="1">
      <c r="A55" s="679" t="s">
        <v>758</v>
      </c>
      <c r="B55" s="681">
        <f>'Ted Inputs'!G26</f>
        <v>750</v>
      </c>
      <c r="C55" s="681"/>
      <c r="D55" s="681"/>
      <c r="E55" s="668"/>
      <c r="F55" s="679" t="s">
        <v>758</v>
      </c>
      <c r="G55" s="681">
        <f>'Ted Inputs'!G39</f>
        <v>1000</v>
      </c>
      <c r="H55" s="681"/>
      <c r="I55" s="681"/>
      <c r="J55" s="668"/>
      <c r="K55" s="679" t="s">
        <v>758</v>
      </c>
      <c r="L55" s="681">
        <f>'Ted Inputs'!G52</f>
        <v>1250</v>
      </c>
      <c r="M55" s="681"/>
      <c r="N55" s="681"/>
      <c r="O55" s="668"/>
      <c r="P55" s="679" t="s">
        <v>758</v>
      </c>
      <c r="Q55" s="681">
        <f>'Ted Inputs'!G65</f>
        <v>1500</v>
      </c>
      <c r="R55" s="681"/>
      <c r="S55" s="681"/>
      <c r="U55" s="679" t="s">
        <v>758</v>
      </c>
      <c r="V55" s="681">
        <f>'Ted Inputs'!G78</f>
        <v>0</v>
      </c>
      <c r="W55" s="681"/>
      <c r="X55" s="681"/>
      <c r="Z55" s="679" t="s">
        <v>758</v>
      </c>
      <c r="AA55" s="681">
        <f>'Ted Inputs'!G91</f>
        <v>0</v>
      </c>
      <c r="AB55" s="681"/>
      <c r="AC55" s="681"/>
      <c r="AE55" s="679" t="s">
        <v>758</v>
      </c>
      <c r="AF55" s="681">
        <f>'Ted Inputs'!G104</f>
        <v>0</v>
      </c>
      <c r="AG55" s="681"/>
      <c r="AH55" s="681"/>
      <c r="AJ55" s="679" t="s">
        <v>758</v>
      </c>
      <c r="AK55" s="681">
        <f>'Ted Inputs'!G117</f>
        <v>0</v>
      </c>
      <c r="AL55" s="681"/>
      <c r="AM55" s="681"/>
      <c r="AO55" s="679" t="s">
        <v>758</v>
      </c>
      <c r="AP55" s="681">
        <f>'Ted Inputs'!G130</f>
        <v>0</v>
      </c>
      <c r="AQ55" s="681"/>
      <c r="AR55" s="681"/>
    </row>
    <row r="56" spans="1:44" ht="17" thickBot="1">
      <c r="A56" s="682" t="s">
        <v>188</v>
      </c>
      <c r="B56" s="681">
        <f>'Ted Inputs'!I26</f>
        <v>24</v>
      </c>
      <c r="C56" s="681"/>
      <c r="D56" s="683"/>
      <c r="E56" s="668"/>
      <c r="F56" s="682" t="s">
        <v>188</v>
      </c>
      <c r="G56" s="681">
        <f>'Ted Inputs'!I39</f>
        <v>24</v>
      </c>
      <c r="H56" s="681"/>
      <c r="I56" s="683"/>
      <c r="J56" s="668"/>
      <c r="K56" s="682" t="s">
        <v>188</v>
      </c>
      <c r="L56" s="681">
        <f>'Ted Inputs'!I52</f>
        <v>24</v>
      </c>
      <c r="M56" s="681"/>
      <c r="N56" s="683"/>
      <c r="O56" s="668"/>
      <c r="P56" s="682" t="s">
        <v>188</v>
      </c>
      <c r="Q56" s="681">
        <f>'Ted Inputs'!I65</f>
        <v>24</v>
      </c>
      <c r="R56" s="681"/>
      <c r="S56" s="683"/>
      <c r="U56" s="682" t="s">
        <v>188</v>
      </c>
      <c r="V56" s="681">
        <f>'Ted Inputs'!I78</f>
        <v>0</v>
      </c>
      <c r="W56" s="681"/>
      <c r="X56" s="683"/>
      <c r="Z56" s="682" t="s">
        <v>188</v>
      </c>
      <c r="AA56" s="681">
        <f>'Ted Inputs'!I91</f>
        <v>0</v>
      </c>
      <c r="AB56" s="681"/>
      <c r="AC56" s="683"/>
      <c r="AE56" s="682" t="s">
        <v>188</v>
      </c>
      <c r="AF56" s="681">
        <f>'Ted Inputs'!I104</f>
        <v>0</v>
      </c>
      <c r="AG56" s="681"/>
      <c r="AH56" s="683"/>
      <c r="AJ56" s="682" t="s">
        <v>188</v>
      </c>
      <c r="AK56" s="681">
        <f>'Ted Inputs'!I117</f>
        <v>0</v>
      </c>
      <c r="AL56" s="681"/>
      <c r="AM56" s="683"/>
      <c r="AO56" s="682" t="s">
        <v>188</v>
      </c>
      <c r="AP56" s="681">
        <f>'Ted Inputs'!I130</f>
        <v>0</v>
      </c>
      <c r="AQ56" s="681"/>
      <c r="AR56" s="683"/>
    </row>
    <row r="57" spans="1:44" ht="16" thickBot="1">
      <c r="A57" s="679" t="s">
        <v>759</v>
      </c>
      <c r="B57" s="680">
        <f>B55*B56</f>
        <v>18000</v>
      </c>
      <c r="C57" s="684"/>
      <c r="D57" s="685"/>
      <c r="E57" s="668"/>
      <c r="F57" s="679" t="s">
        <v>759</v>
      </c>
      <c r="G57" s="680">
        <f>G55*G56</f>
        <v>24000</v>
      </c>
      <c r="H57" s="684"/>
      <c r="I57" s="685"/>
      <c r="J57" s="668"/>
      <c r="K57" s="679" t="s">
        <v>759</v>
      </c>
      <c r="L57" s="680">
        <f>L55*L56</f>
        <v>30000</v>
      </c>
      <c r="M57" s="684"/>
      <c r="N57" s="685"/>
      <c r="O57" s="668"/>
      <c r="P57" s="679" t="s">
        <v>759</v>
      </c>
      <c r="Q57" s="680">
        <f>Q55*Q56</f>
        <v>36000</v>
      </c>
      <c r="R57" s="684"/>
      <c r="S57" s="685"/>
      <c r="U57" s="679" t="s">
        <v>759</v>
      </c>
      <c r="V57" s="680">
        <f>V55*V56</f>
        <v>0</v>
      </c>
      <c r="W57" s="684"/>
      <c r="X57" s="685"/>
      <c r="Z57" s="679" t="s">
        <v>759</v>
      </c>
      <c r="AA57" s="680">
        <f>AA55*AA56</f>
        <v>0</v>
      </c>
      <c r="AB57" s="684"/>
      <c r="AC57" s="685"/>
      <c r="AE57" s="679" t="s">
        <v>759</v>
      </c>
      <c r="AF57" s="680">
        <f>AF55*AF56</f>
        <v>0</v>
      </c>
      <c r="AG57" s="684"/>
      <c r="AH57" s="685"/>
      <c r="AJ57" s="679" t="s">
        <v>759</v>
      </c>
      <c r="AK57" s="680">
        <f>AK55*AK56</f>
        <v>0</v>
      </c>
      <c r="AL57" s="684"/>
      <c r="AM57" s="685"/>
      <c r="AO57" s="679" t="s">
        <v>759</v>
      </c>
      <c r="AP57" s="680">
        <f>AP55*AP56</f>
        <v>0</v>
      </c>
      <c r="AQ57" s="684"/>
      <c r="AR57" s="685"/>
    </row>
    <row r="58" spans="1:44" ht="16" thickBot="1">
      <c r="A58" s="679" t="s">
        <v>192</v>
      </c>
      <c r="B58" s="681">
        <f>'Ted Inputs'!K26</f>
        <v>1</v>
      </c>
      <c r="C58" s="684"/>
      <c r="D58" s="686"/>
      <c r="E58" s="668"/>
      <c r="F58" s="679" t="s">
        <v>192</v>
      </c>
      <c r="G58" s="681">
        <f>'Ted Inputs'!K39</f>
        <v>1</v>
      </c>
      <c r="H58" s="684"/>
      <c r="I58" s="686"/>
      <c r="J58" s="668"/>
      <c r="K58" s="679" t="s">
        <v>192</v>
      </c>
      <c r="L58" s="681">
        <f>'Ted Inputs'!K52</f>
        <v>1</v>
      </c>
      <c r="M58" s="684"/>
      <c r="N58" s="686"/>
      <c r="O58" s="668"/>
      <c r="P58" s="679" t="s">
        <v>192</v>
      </c>
      <c r="Q58" s="681">
        <f>'Ted Inputs'!K65</f>
        <v>1</v>
      </c>
      <c r="R58" s="684"/>
      <c r="S58" s="686"/>
      <c r="U58" s="679" t="s">
        <v>192</v>
      </c>
      <c r="V58" s="681">
        <f>'Ted Inputs'!K78</f>
        <v>0</v>
      </c>
      <c r="W58" s="684"/>
      <c r="X58" s="686"/>
      <c r="Z58" s="679" t="s">
        <v>192</v>
      </c>
      <c r="AA58" s="681">
        <f>'Ted Inputs'!K91</f>
        <v>0</v>
      </c>
      <c r="AB58" s="684"/>
      <c r="AC58" s="686"/>
      <c r="AE58" s="679" t="s">
        <v>192</v>
      </c>
      <c r="AF58" s="681">
        <f>'Ted Inputs'!K104</f>
        <v>0</v>
      </c>
      <c r="AG58" s="684"/>
      <c r="AH58" s="686"/>
      <c r="AJ58" s="679" t="s">
        <v>192</v>
      </c>
      <c r="AK58" s="681">
        <f>'Ted Inputs'!K117</f>
        <v>0</v>
      </c>
      <c r="AL58" s="684"/>
      <c r="AM58" s="686"/>
      <c r="AO58" s="679" t="s">
        <v>192</v>
      </c>
      <c r="AP58" s="681">
        <f>'Ted Inputs'!K130</f>
        <v>0</v>
      </c>
      <c r="AQ58" s="684"/>
      <c r="AR58" s="686"/>
    </row>
    <row r="59" spans="1:44" ht="16" thickBot="1">
      <c r="A59" s="687" t="s">
        <v>195</v>
      </c>
      <c r="B59" s="681">
        <f>'Ted Inputs'!M26</f>
        <v>30</v>
      </c>
      <c r="C59" s="681"/>
      <c r="D59" s="681"/>
      <c r="E59" s="668"/>
      <c r="F59" s="687" t="s">
        <v>195</v>
      </c>
      <c r="G59" s="681">
        <f>'Ted Inputs'!M39</f>
        <v>30</v>
      </c>
      <c r="H59" s="681"/>
      <c r="I59" s="681"/>
      <c r="J59" s="668"/>
      <c r="K59" s="687" t="s">
        <v>195</v>
      </c>
      <c r="L59" s="681">
        <f>'Ted Inputs'!M52</f>
        <v>30</v>
      </c>
      <c r="M59" s="681"/>
      <c r="N59" s="681"/>
      <c r="O59" s="668"/>
      <c r="P59" s="687" t="s">
        <v>195</v>
      </c>
      <c r="Q59" s="681">
        <f>'Ted Inputs'!M65</f>
        <v>30</v>
      </c>
      <c r="R59" s="681"/>
      <c r="S59" s="681"/>
      <c r="U59" s="687" t="s">
        <v>195</v>
      </c>
      <c r="V59" s="681">
        <f>'Ted Inputs'!M78</f>
        <v>0</v>
      </c>
      <c r="W59" s="681"/>
      <c r="X59" s="681"/>
      <c r="Z59" s="687" t="s">
        <v>195</v>
      </c>
      <c r="AA59" s="681">
        <f>'Ted Inputs'!M91</f>
        <v>0</v>
      </c>
      <c r="AB59" s="681"/>
      <c r="AC59" s="681"/>
      <c r="AE59" s="687" t="s">
        <v>195</v>
      </c>
      <c r="AF59" s="681">
        <f>'Ted Inputs'!M104</f>
        <v>0</v>
      </c>
      <c r="AG59" s="681"/>
      <c r="AH59" s="681"/>
      <c r="AJ59" s="687" t="s">
        <v>195</v>
      </c>
      <c r="AK59" s="681">
        <f>'Ted Inputs'!M117</f>
        <v>0</v>
      </c>
      <c r="AL59" s="681"/>
      <c r="AM59" s="681"/>
      <c r="AO59" s="687" t="s">
        <v>195</v>
      </c>
      <c r="AP59" s="681">
        <f>'Ted Inputs'!M130</f>
        <v>0</v>
      </c>
      <c r="AQ59" s="681"/>
      <c r="AR59" s="681"/>
    </row>
    <row r="60" spans="1:44" ht="16" thickBot="1">
      <c r="A60" s="679" t="s">
        <v>761</v>
      </c>
      <c r="B60" s="680">
        <f>B57*B58</f>
        <v>18000</v>
      </c>
      <c r="C60" s="681"/>
      <c r="D60" s="681"/>
      <c r="E60" s="668"/>
      <c r="F60" s="679" t="s">
        <v>761</v>
      </c>
      <c r="G60" s="680">
        <f>G57*G58</f>
        <v>24000</v>
      </c>
      <c r="H60" s="681"/>
      <c r="I60" s="681"/>
      <c r="J60" s="668"/>
      <c r="K60" s="679" t="s">
        <v>761</v>
      </c>
      <c r="L60" s="680">
        <f>L57*L58</f>
        <v>30000</v>
      </c>
      <c r="M60" s="681"/>
      <c r="N60" s="681"/>
      <c r="O60" s="668"/>
      <c r="P60" s="679" t="s">
        <v>761</v>
      </c>
      <c r="Q60" s="680">
        <f>Q57*Q58</f>
        <v>36000</v>
      </c>
      <c r="R60" s="681"/>
      <c r="S60" s="681"/>
      <c r="U60" s="679" t="s">
        <v>761</v>
      </c>
      <c r="V60" s="680">
        <f>V57*V58</f>
        <v>0</v>
      </c>
      <c r="W60" s="681"/>
      <c r="X60" s="681"/>
      <c r="Z60" s="679" t="s">
        <v>761</v>
      </c>
      <c r="AA60" s="680">
        <f>AA57*AA58</f>
        <v>0</v>
      </c>
      <c r="AB60" s="681"/>
      <c r="AC60" s="681"/>
      <c r="AE60" s="679" t="s">
        <v>761</v>
      </c>
      <c r="AF60" s="680">
        <f>AF57*AF58</f>
        <v>0</v>
      </c>
      <c r="AG60" s="681"/>
      <c r="AH60" s="681"/>
      <c r="AJ60" s="679" t="s">
        <v>761</v>
      </c>
      <c r="AK60" s="680">
        <f>AK57*AK58</f>
        <v>0</v>
      </c>
      <c r="AL60" s="681"/>
      <c r="AM60" s="681"/>
      <c r="AO60" s="679" t="s">
        <v>761</v>
      </c>
      <c r="AP60" s="680">
        <f>AP57*AP58</f>
        <v>0</v>
      </c>
      <c r="AQ60" s="681"/>
      <c r="AR60" s="681"/>
    </row>
    <row r="61" spans="1:44" ht="16" thickBot="1">
      <c r="A61" s="679" t="s">
        <v>762</v>
      </c>
      <c r="B61" s="680">
        <f>B60*B59</f>
        <v>540000</v>
      </c>
      <c r="C61" s="681"/>
      <c r="D61" s="681"/>
      <c r="E61" s="668"/>
      <c r="F61" s="679" t="s">
        <v>762</v>
      </c>
      <c r="G61" s="680">
        <f>G60*G59</f>
        <v>720000</v>
      </c>
      <c r="H61" s="681"/>
      <c r="I61" s="681"/>
      <c r="J61" s="668"/>
      <c r="K61" s="679" t="s">
        <v>762</v>
      </c>
      <c r="L61" s="680">
        <f>L60*L59</f>
        <v>900000</v>
      </c>
      <c r="M61" s="681"/>
      <c r="N61" s="681"/>
      <c r="O61" s="668"/>
      <c r="P61" s="679" t="s">
        <v>762</v>
      </c>
      <c r="Q61" s="680">
        <f>Q60*Q59</f>
        <v>1080000</v>
      </c>
      <c r="R61" s="681"/>
      <c r="S61" s="681"/>
      <c r="U61" s="679" t="s">
        <v>762</v>
      </c>
      <c r="V61" s="680">
        <f>V60*V59</f>
        <v>0</v>
      </c>
      <c r="W61" s="681"/>
      <c r="X61" s="681"/>
      <c r="Z61" s="679" t="s">
        <v>762</v>
      </c>
      <c r="AA61" s="680">
        <f>AA60*AA59</f>
        <v>0</v>
      </c>
      <c r="AB61" s="681"/>
      <c r="AC61" s="681"/>
      <c r="AE61" s="679" t="s">
        <v>762</v>
      </c>
      <c r="AF61" s="680">
        <f>AF60*AF59</f>
        <v>0</v>
      </c>
      <c r="AG61" s="681"/>
      <c r="AH61" s="681"/>
      <c r="AJ61" s="679" t="s">
        <v>762</v>
      </c>
      <c r="AK61" s="680">
        <f>AK60*AK59</f>
        <v>0</v>
      </c>
      <c r="AL61" s="681"/>
      <c r="AM61" s="681"/>
      <c r="AO61" s="679" t="s">
        <v>762</v>
      </c>
      <c r="AP61" s="680">
        <f>AP60*AP59</f>
        <v>0</v>
      </c>
      <c r="AQ61" s="681"/>
      <c r="AR61" s="681"/>
    </row>
    <row r="62" spans="1:44" ht="16" thickBot="1">
      <c r="A62" s="679" t="s">
        <v>763</v>
      </c>
      <c r="B62" s="688">
        <f>C66/B61</f>
        <v>0.24983333333333332</v>
      </c>
      <c r="C62" s="681"/>
      <c r="D62" s="689"/>
      <c r="E62" s="668"/>
      <c r="F62" s="679" t="s">
        <v>763</v>
      </c>
      <c r="G62" s="688">
        <f>H66/G61</f>
        <v>0.24983333333333332</v>
      </c>
      <c r="H62" s="681"/>
      <c r="I62" s="689"/>
      <c r="J62" s="668"/>
      <c r="K62" s="679" t="s">
        <v>763</v>
      </c>
      <c r="L62" s="688">
        <f>M66/L61</f>
        <v>0.24983333333333332</v>
      </c>
      <c r="M62" s="681"/>
      <c r="N62" s="689"/>
      <c r="O62" s="668"/>
      <c r="P62" s="679" t="s">
        <v>763</v>
      </c>
      <c r="Q62" s="688">
        <f>R66/Q61</f>
        <v>0.24983333333333332</v>
      </c>
      <c r="R62" s="681"/>
      <c r="S62" s="689"/>
      <c r="U62" s="679" t="s">
        <v>763</v>
      </c>
      <c r="V62" s="688" t="e">
        <f>W66/V61</f>
        <v>#DIV/0!</v>
      </c>
      <c r="W62" s="681"/>
      <c r="X62" s="689"/>
      <c r="Z62" s="679" t="s">
        <v>763</v>
      </c>
      <c r="AA62" s="688" t="e">
        <f>AB66/AA61</f>
        <v>#DIV/0!</v>
      </c>
      <c r="AB62" s="681"/>
      <c r="AC62" s="689"/>
      <c r="AE62" s="679" t="s">
        <v>763</v>
      </c>
      <c r="AF62" s="688" t="e">
        <f>AG66/AF61</f>
        <v>#DIV/0!</v>
      </c>
      <c r="AG62" s="681"/>
      <c r="AH62" s="689"/>
      <c r="AJ62" s="679" t="s">
        <v>763</v>
      </c>
      <c r="AK62" s="688" t="e">
        <f>AL66/AK61</f>
        <v>#DIV/0!</v>
      </c>
      <c r="AL62" s="681"/>
      <c r="AM62" s="689"/>
      <c r="AO62" s="679" t="s">
        <v>763</v>
      </c>
      <c r="AP62" s="688" t="e">
        <f>AQ66/AP61</f>
        <v>#DIV/0!</v>
      </c>
      <c r="AQ62" s="681"/>
      <c r="AR62" s="689"/>
    </row>
    <row r="63" spans="1:44" ht="16" thickBot="1">
      <c r="A63" s="690"/>
      <c r="B63" s="691" t="s">
        <v>250</v>
      </c>
      <c r="C63" s="691" t="s">
        <v>764</v>
      </c>
      <c r="D63" s="691" t="s">
        <v>18</v>
      </c>
      <c r="E63" s="668"/>
      <c r="F63" s="690"/>
      <c r="G63" s="691" t="s">
        <v>250</v>
      </c>
      <c r="H63" s="691" t="s">
        <v>764</v>
      </c>
      <c r="I63" s="691" t="s">
        <v>18</v>
      </c>
      <c r="J63" s="668"/>
      <c r="K63" s="690"/>
      <c r="L63" s="691" t="s">
        <v>250</v>
      </c>
      <c r="M63" s="691" t="s">
        <v>764</v>
      </c>
      <c r="N63" s="691" t="s">
        <v>18</v>
      </c>
      <c r="O63" s="668"/>
      <c r="P63" s="690"/>
      <c r="Q63" s="691" t="s">
        <v>250</v>
      </c>
      <c r="R63" s="691" t="s">
        <v>764</v>
      </c>
      <c r="S63" s="691" t="s">
        <v>18</v>
      </c>
      <c r="U63" s="690"/>
      <c r="V63" s="691" t="s">
        <v>250</v>
      </c>
      <c r="W63" s="691" t="s">
        <v>764</v>
      </c>
      <c r="X63" s="691" t="s">
        <v>18</v>
      </c>
      <c r="Z63" s="690"/>
      <c r="AA63" s="691" t="s">
        <v>250</v>
      </c>
      <c r="AB63" s="691" t="s">
        <v>764</v>
      </c>
      <c r="AC63" s="691" t="s">
        <v>18</v>
      </c>
      <c r="AE63" s="690"/>
      <c r="AF63" s="691" t="s">
        <v>250</v>
      </c>
      <c r="AG63" s="691" t="s">
        <v>764</v>
      </c>
      <c r="AH63" s="691" t="s">
        <v>18</v>
      </c>
      <c r="AJ63" s="690"/>
      <c r="AK63" s="691" t="s">
        <v>250</v>
      </c>
      <c r="AL63" s="691" t="s">
        <v>764</v>
      </c>
      <c r="AM63" s="691" t="s">
        <v>18</v>
      </c>
      <c r="AO63" s="690"/>
      <c r="AP63" s="691" t="s">
        <v>250</v>
      </c>
      <c r="AQ63" s="691" t="s">
        <v>764</v>
      </c>
      <c r="AR63" s="691" t="s">
        <v>18</v>
      </c>
    </row>
    <row r="64" spans="1:44" ht="16" thickBot="1">
      <c r="A64" s="692" t="s">
        <v>765</v>
      </c>
      <c r="B64" s="693">
        <f>ROUND(C64*$B$89,2)</f>
        <v>3.75</v>
      </c>
      <c r="C64" s="694">
        <f>ROUND(D64*'Ted Inputs'!$G$11,2)</f>
        <v>7.5</v>
      </c>
      <c r="D64" s="694">
        <f>C53</f>
        <v>14.99</v>
      </c>
      <c r="E64" s="668"/>
      <c r="F64" s="692" t="s">
        <v>765</v>
      </c>
      <c r="G64" s="693">
        <f>ROUND(H64*$B$89,2)</f>
        <v>3.75</v>
      </c>
      <c r="H64" s="694">
        <f>ROUND(I64*'Ted Inputs'!$G$11,2)</f>
        <v>7.5</v>
      </c>
      <c r="I64" s="694">
        <f>H53</f>
        <v>14.99</v>
      </c>
      <c r="J64" s="668"/>
      <c r="K64" s="692" t="s">
        <v>765</v>
      </c>
      <c r="L64" s="693">
        <f>ROUND(M64*$B$89,2)</f>
        <v>3.75</v>
      </c>
      <c r="M64" s="694">
        <f>ROUND(N64*'Ted Inputs'!$G$11,2)</f>
        <v>7.5</v>
      </c>
      <c r="N64" s="694">
        <f>M53</f>
        <v>14.99</v>
      </c>
      <c r="O64" s="668"/>
      <c r="P64" s="692" t="s">
        <v>765</v>
      </c>
      <c r="Q64" s="693">
        <f>ROUND(R64*$B$89,2)</f>
        <v>3.75</v>
      </c>
      <c r="R64" s="694">
        <f>ROUND(S64*'Ted Inputs'!$G$11,2)</f>
        <v>7.5</v>
      </c>
      <c r="S64" s="694">
        <f>R53</f>
        <v>14.99</v>
      </c>
      <c r="U64" s="692" t="s">
        <v>765</v>
      </c>
      <c r="V64" s="693">
        <f>ROUND(W64*$B$89,2)</f>
        <v>0</v>
      </c>
      <c r="W64" s="694">
        <f>ROUND(X64*'Ted Inputs'!$G$11,2)</f>
        <v>0</v>
      </c>
      <c r="X64" s="694">
        <f>W53</f>
        <v>0</v>
      </c>
      <c r="Z64" s="692" t="s">
        <v>765</v>
      </c>
      <c r="AA64" s="693">
        <f>ROUND(AB64*$B$89,2)</f>
        <v>0</v>
      </c>
      <c r="AB64" s="694">
        <f>ROUND(AC64*'Ted Inputs'!$G$11,2)</f>
        <v>0</v>
      </c>
      <c r="AC64" s="694">
        <f>AB53</f>
        <v>0</v>
      </c>
      <c r="AE64" s="692" t="s">
        <v>765</v>
      </c>
      <c r="AF64" s="693">
        <f>ROUND(AG64*$B$89,2)</f>
        <v>0</v>
      </c>
      <c r="AG64" s="694">
        <f>ROUND(AH64*'Ted Inputs'!$G$11,2)</f>
        <v>0</v>
      </c>
      <c r="AH64" s="694">
        <f>AG53</f>
        <v>0</v>
      </c>
      <c r="AJ64" s="692" t="s">
        <v>765</v>
      </c>
      <c r="AK64" s="693">
        <f>ROUND(AL64*$B$89,2)</f>
        <v>0</v>
      </c>
      <c r="AL64" s="694">
        <f>ROUND(AM64*'Ted Inputs'!$G$11,2)</f>
        <v>0</v>
      </c>
      <c r="AM64" s="694">
        <f>AL53</f>
        <v>0</v>
      </c>
      <c r="AO64" s="692" t="s">
        <v>765</v>
      </c>
      <c r="AP64" s="693">
        <f>ROUND(AQ64*$B$89,2)</f>
        <v>0</v>
      </c>
      <c r="AQ64" s="694">
        <f>ROUND(AR64*'Ted Inputs'!$G$11,2)</f>
        <v>0</v>
      </c>
      <c r="AR64" s="694">
        <f>AQ53</f>
        <v>0</v>
      </c>
    </row>
    <row r="65" spans="1:44" ht="16" thickBot="1">
      <c r="A65" s="692" t="s">
        <v>766</v>
      </c>
      <c r="B65" s="693">
        <f>ROUND(C65*$B$89,2)</f>
        <v>89.94</v>
      </c>
      <c r="C65" s="695">
        <f>ROUND(D65*'Ted Inputs'!$G$11,2)</f>
        <v>179.88</v>
      </c>
      <c r="D65" s="695">
        <f>ROUND(D64*B56,2)</f>
        <v>359.76</v>
      </c>
      <c r="E65" s="668"/>
      <c r="F65" s="692" t="s">
        <v>766</v>
      </c>
      <c r="G65" s="693">
        <f>ROUND(H65*$B$89,2)</f>
        <v>89.94</v>
      </c>
      <c r="H65" s="695">
        <f>ROUND(I65*'Ted Inputs'!$G$11,2)</f>
        <v>179.88</v>
      </c>
      <c r="I65" s="695">
        <f>ROUND(I64*G56,2)</f>
        <v>359.76</v>
      </c>
      <c r="J65" s="668"/>
      <c r="K65" s="692" t="s">
        <v>766</v>
      </c>
      <c r="L65" s="693">
        <f>ROUND(M65*$B$89,2)</f>
        <v>89.94</v>
      </c>
      <c r="M65" s="695">
        <f>ROUND(N65*'Ted Inputs'!$G$11,2)</f>
        <v>179.88</v>
      </c>
      <c r="N65" s="695">
        <f>ROUND(N64*L56,2)</f>
        <v>359.76</v>
      </c>
      <c r="O65" s="668"/>
      <c r="P65" s="692" t="s">
        <v>766</v>
      </c>
      <c r="Q65" s="693">
        <f>ROUND(R65*$B$89,2)</f>
        <v>89.94</v>
      </c>
      <c r="R65" s="695">
        <f>ROUND(S65*'Ted Inputs'!$G$11,2)</f>
        <v>179.88</v>
      </c>
      <c r="S65" s="695">
        <f>ROUND(S64*Q56,2)</f>
        <v>359.76</v>
      </c>
      <c r="U65" s="692" t="s">
        <v>766</v>
      </c>
      <c r="V65" s="693">
        <f>ROUND(W65*$B$89,2)</f>
        <v>0</v>
      </c>
      <c r="W65" s="695">
        <f>ROUND(X65*'Ted Inputs'!$G$11,2)</f>
        <v>0</v>
      </c>
      <c r="X65" s="695">
        <f>ROUND(X64*V56,2)</f>
        <v>0</v>
      </c>
      <c r="Z65" s="692" t="s">
        <v>766</v>
      </c>
      <c r="AA65" s="693">
        <f>ROUND(AB65*$B$89,2)</f>
        <v>0</v>
      </c>
      <c r="AB65" s="695">
        <f>ROUND(AC65*'Ted Inputs'!$G$11,2)</f>
        <v>0</v>
      </c>
      <c r="AC65" s="695">
        <f>ROUND(AC64*AA56,2)</f>
        <v>0</v>
      </c>
      <c r="AE65" s="692" t="s">
        <v>766</v>
      </c>
      <c r="AF65" s="693">
        <f>ROUND(AG65*$B$89,2)</f>
        <v>0</v>
      </c>
      <c r="AG65" s="695">
        <f>ROUND(AH65*'Ted Inputs'!$G$11,2)</f>
        <v>0</v>
      </c>
      <c r="AH65" s="695">
        <f>ROUND(AH64*AF56,2)</f>
        <v>0</v>
      </c>
      <c r="AJ65" s="692" t="s">
        <v>766</v>
      </c>
      <c r="AK65" s="693">
        <f>ROUND(AL65*$B$89,2)</f>
        <v>0</v>
      </c>
      <c r="AL65" s="695">
        <f>ROUND(AM65*'Ted Inputs'!$G$11,2)</f>
        <v>0</v>
      </c>
      <c r="AM65" s="695">
        <f>ROUND(AM64*AK56,2)</f>
        <v>0</v>
      </c>
      <c r="AO65" s="692" t="s">
        <v>766</v>
      </c>
      <c r="AP65" s="693">
        <f>ROUND(AQ65*$B$89,2)</f>
        <v>0</v>
      </c>
      <c r="AQ65" s="695">
        <f>ROUND(AR65*'Ted Inputs'!$G$11,2)</f>
        <v>0</v>
      </c>
      <c r="AR65" s="695">
        <f>ROUND(AR64*AP56,2)</f>
        <v>0</v>
      </c>
    </row>
    <row r="66" spans="1:44" ht="16" thickBot="1">
      <c r="A66" s="692" t="s">
        <v>767</v>
      </c>
      <c r="B66" s="693">
        <f>ROUND(B65*$B55,2)</f>
        <v>67455</v>
      </c>
      <c r="C66" s="695">
        <f>ROUND(C65*B55,2)</f>
        <v>134910</v>
      </c>
      <c r="D66" s="695">
        <f>ROUND(D65*B55,2)</f>
        <v>269820</v>
      </c>
      <c r="E66" s="668"/>
      <c r="F66" s="692" t="s">
        <v>767</v>
      </c>
      <c r="G66" s="693">
        <f>ROUND(G65*$B55,2)</f>
        <v>67455</v>
      </c>
      <c r="H66" s="695">
        <f>ROUND(H65*G55,2)</f>
        <v>179880</v>
      </c>
      <c r="I66" s="695">
        <f>ROUND(I65*G55,2)</f>
        <v>359760</v>
      </c>
      <c r="J66" s="668"/>
      <c r="K66" s="692" t="s">
        <v>767</v>
      </c>
      <c r="L66" s="693">
        <f>ROUND(L65*$B55,2)</f>
        <v>67455</v>
      </c>
      <c r="M66" s="695">
        <f>ROUND(M65*L55,2)</f>
        <v>224850</v>
      </c>
      <c r="N66" s="695">
        <f>ROUND(N65*L55,2)</f>
        <v>449700</v>
      </c>
      <c r="O66" s="668"/>
      <c r="P66" s="692" t="s">
        <v>767</v>
      </c>
      <c r="Q66" s="693">
        <f>ROUND(Q65*$B55,2)</f>
        <v>67455</v>
      </c>
      <c r="R66" s="695">
        <f>ROUND(R65*Q55,2)</f>
        <v>269820</v>
      </c>
      <c r="S66" s="695">
        <f>ROUND(S65*Q55,2)</f>
        <v>539640</v>
      </c>
      <c r="U66" s="692" t="s">
        <v>767</v>
      </c>
      <c r="V66" s="693">
        <f>ROUND(V65*$B55,2)</f>
        <v>0</v>
      </c>
      <c r="W66" s="695">
        <f>ROUND(W65*V55,2)</f>
        <v>0</v>
      </c>
      <c r="X66" s="695">
        <f>ROUND(X65*V55,2)</f>
        <v>0</v>
      </c>
      <c r="Z66" s="692" t="s">
        <v>767</v>
      </c>
      <c r="AA66" s="693">
        <f>ROUND(AA65*$B55,2)</f>
        <v>0</v>
      </c>
      <c r="AB66" s="695">
        <f>ROUND(AB65*AA55,2)</f>
        <v>0</v>
      </c>
      <c r="AC66" s="695">
        <f>ROUND(AC65*AA55,2)</f>
        <v>0</v>
      </c>
      <c r="AE66" s="692" t="s">
        <v>767</v>
      </c>
      <c r="AF66" s="693">
        <f>ROUND(AF65*$B55,2)</f>
        <v>0</v>
      </c>
      <c r="AG66" s="695">
        <f>ROUND(AG65*AF55,2)</f>
        <v>0</v>
      </c>
      <c r="AH66" s="695">
        <f>ROUND(AH65*AF55,2)</f>
        <v>0</v>
      </c>
      <c r="AJ66" s="692" t="s">
        <v>767</v>
      </c>
      <c r="AK66" s="693">
        <f>ROUND(AK65*$B55,2)</f>
        <v>0</v>
      </c>
      <c r="AL66" s="695">
        <f>ROUND(AL65*AK55,2)</f>
        <v>0</v>
      </c>
      <c r="AM66" s="695">
        <f>ROUND(AM65*AK55,2)</f>
        <v>0</v>
      </c>
      <c r="AO66" s="692" t="s">
        <v>767</v>
      </c>
      <c r="AP66" s="693">
        <f>ROUND(AP65*$B55,2)</f>
        <v>0</v>
      </c>
      <c r="AQ66" s="695">
        <f>ROUND(AQ65*AP55,2)</f>
        <v>0</v>
      </c>
      <c r="AR66" s="695">
        <f>ROUND(AR65*AP55,2)</f>
        <v>0</v>
      </c>
    </row>
    <row r="67" spans="1:44" ht="16" thickBot="1">
      <c r="A67" s="668"/>
      <c r="B67" s="668"/>
      <c r="C67" s="668"/>
      <c r="D67" s="668"/>
      <c r="E67" s="668"/>
      <c r="F67" s="668"/>
      <c r="G67" s="668"/>
      <c r="H67" s="668"/>
      <c r="I67" s="668"/>
      <c r="J67" s="668"/>
      <c r="K67" s="668"/>
      <c r="L67" s="668"/>
      <c r="M67" s="668"/>
      <c r="N67" s="668"/>
      <c r="O67" s="668"/>
      <c r="P67" s="668"/>
      <c r="Q67" s="668"/>
      <c r="R67" s="668"/>
      <c r="S67" s="668"/>
      <c r="U67" s="668"/>
      <c r="V67" s="668"/>
      <c r="W67" s="668"/>
      <c r="X67" s="668"/>
      <c r="Z67" s="668"/>
      <c r="AA67" s="668"/>
      <c r="AB67" s="668"/>
      <c r="AC67" s="668"/>
      <c r="AE67" s="668"/>
      <c r="AF67" s="668"/>
      <c r="AG67" s="668"/>
      <c r="AH67" s="668"/>
      <c r="AJ67" s="668"/>
      <c r="AK67" s="668"/>
      <c r="AL67" s="668"/>
      <c r="AM67" s="668"/>
      <c r="AO67" s="668"/>
      <c r="AP67" s="668"/>
      <c r="AQ67" s="668"/>
      <c r="AR67" s="668"/>
    </row>
    <row r="68" spans="1:44" ht="16" thickBot="1">
      <c r="A68" s="668"/>
      <c r="B68" s="668"/>
      <c r="C68" s="674" t="s">
        <v>754</v>
      </c>
      <c r="D68" s="675"/>
      <c r="E68" s="668"/>
      <c r="F68" s="668"/>
      <c r="G68" s="668"/>
      <c r="H68" s="674" t="s">
        <v>754</v>
      </c>
      <c r="I68" s="675"/>
      <c r="J68" s="668"/>
      <c r="K68" s="668"/>
      <c r="L68" s="668"/>
      <c r="M68" s="674" t="s">
        <v>754</v>
      </c>
      <c r="N68" s="675"/>
      <c r="O68" s="668"/>
      <c r="P68" s="668"/>
      <c r="Q68" s="668"/>
      <c r="R68" s="674" t="s">
        <v>754</v>
      </c>
      <c r="S68" s="675"/>
      <c r="U68" s="668"/>
      <c r="V68" s="668"/>
      <c r="W68" s="674" t="s">
        <v>754</v>
      </c>
      <c r="X68" s="675"/>
      <c r="Z68" s="668"/>
      <c r="AA68" s="668"/>
      <c r="AB68" s="674" t="s">
        <v>754</v>
      </c>
      <c r="AC68" s="675"/>
      <c r="AE68" s="668"/>
      <c r="AF68" s="668"/>
      <c r="AG68" s="674" t="s">
        <v>754</v>
      </c>
      <c r="AH68" s="675"/>
      <c r="AJ68" s="668"/>
      <c r="AK68" s="668"/>
      <c r="AL68" s="674" t="s">
        <v>754</v>
      </c>
      <c r="AM68" s="675"/>
      <c r="AO68" s="668"/>
      <c r="AP68" s="668"/>
      <c r="AQ68" s="674" t="s">
        <v>754</v>
      </c>
      <c r="AR68" s="675"/>
    </row>
    <row r="69" spans="1:44" s="677" customFormat="1" ht="32">
      <c r="A69" s="676" t="s">
        <v>772</v>
      </c>
      <c r="B69" s="1172" t="s">
        <v>18</v>
      </c>
      <c r="C69" s="1174">
        <f>'Ted Inputs'!E27</f>
        <v>0</v>
      </c>
      <c r="D69" s="1172"/>
      <c r="E69" s="1179"/>
      <c r="F69" s="676" t="s">
        <v>772</v>
      </c>
      <c r="G69" s="1172" t="s">
        <v>18</v>
      </c>
      <c r="H69" s="1176">
        <f>'Ted Inputs'!E40</f>
        <v>0</v>
      </c>
      <c r="I69" s="1172"/>
      <c r="J69" s="1179"/>
      <c r="K69" s="676" t="s">
        <v>772</v>
      </c>
      <c r="L69" s="1172" t="s">
        <v>18</v>
      </c>
      <c r="M69" s="1174">
        <f>'Ted Inputs'!E53</f>
        <v>0</v>
      </c>
      <c r="N69" s="1172"/>
      <c r="O69" s="1180"/>
      <c r="P69" s="676" t="s">
        <v>772</v>
      </c>
      <c r="Q69" s="1172" t="s">
        <v>18</v>
      </c>
      <c r="R69" s="1174">
        <f>'Ted Inputs'!E66</f>
        <v>0</v>
      </c>
      <c r="S69" s="1172"/>
      <c r="U69" s="676" t="s">
        <v>772</v>
      </c>
      <c r="V69" s="1172" t="s">
        <v>18</v>
      </c>
      <c r="W69" s="1174">
        <f>'Ted Inputs'!E79</f>
        <v>0</v>
      </c>
      <c r="X69" s="1172"/>
      <c r="Z69" s="676" t="s">
        <v>772</v>
      </c>
      <c r="AA69" s="1172" t="s">
        <v>18</v>
      </c>
      <c r="AB69" s="1174">
        <f>'Ted Inputs'!E92</f>
        <v>0</v>
      </c>
      <c r="AC69" s="1172"/>
      <c r="AE69" s="676" t="s">
        <v>772</v>
      </c>
      <c r="AF69" s="1172" t="s">
        <v>18</v>
      </c>
      <c r="AG69" s="1174">
        <f>'Ted Inputs'!E105</f>
        <v>0</v>
      </c>
      <c r="AH69" s="1172"/>
      <c r="AJ69" s="676" t="s">
        <v>772</v>
      </c>
      <c r="AK69" s="1172" t="s">
        <v>18</v>
      </c>
      <c r="AL69" s="1174">
        <f>'Ted Inputs'!E118</f>
        <v>0</v>
      </c>
      <c r="AM69" s="1172"/>
      <c r="AO69" s="676" t="s">
        <v>772</v>
      </c>
      <c r="AP69" s="1172" t="s">
        <v>18</v>
      </c>
      <c r="AQ69" s="1174">
        <f>'Ted Inputs'!E131</f>
        <v>0</v>
      </c>
      <c r="AR69" s="1172"/>
    </row>
    <row r="70" spans="1:44" s="677" customFormat="1" ht="16" thickBot="1">
      <c r="A70" s="678" t="s">
        <v>773</v>
      </c>
      <c r="B70" s="1173"/>
      <c r="C70" s="1175"/>
      <c r="D70" s="1173"/>
      <c r="E70" s="1179"/>
      <c r="F70" s="678" t="s">
        <v>773</v>
      </c>
      <c r="G70" s="1173"/>
      <c r="H70" s="1177"/>
      <c r="I70" s="1173"/>
      <c r="J70" s="1179"/>
      <c r="K70" s="678" t="s">
        <v>773</v>
      </c>
      <c r="L70" s="1173"/>
      <c r="M70" s="1175"/>
      <c r="N70" s="1173"/>
      <c r="O70" s="1180"/>
      <c r="P70" s="678" t="s">
        <v>773</v>
      </c>
      <c r="Q70" s="1173"/>
      <c r="R70" s="1175"/>
      <c r="S70" s="1173"/>
      <c r="U70" s="678" t="s">
        <v>773</v>
      </c>
      <c r="V70" s="1173"/>
      <c r="W70" s="1175"/>
      <c r="X70" s="1173"/>
      <c r="Z70" s="678" t="s">
        <v>773</v>
      </c>
      <c r="AA70" s="1173"/>
      <c r="AB70" s="1175"/>
      <c r="AC70" s="1173"/>
      <c r="AE70" s="678" t="s">
        <v>773</v>
      </c>
      <c r="AF70" s="1173"/>
      <c r="AG70" s="1175"/>
      <c r="AH70" s="1173"/>
      <c r="AJ70" s="678" t="s">
        <v>773</v>
      </c>
      <c r="AK70" s="1173"/>
      <c r="AL70" s="1175"/>
      <c r="AM70" s="1173"/>
      <c r="AO70" s="678" t="s">
        <v>773</v>
      </c>
      <c r="AP70" s="1173"/>
      <c r="AQ70" s="1175"/>
      <c r="AR70" s="1173"/>
    </row>
    <row r="71" spans="1:44" ht="16" thickBot="1">
      <c r="A71" s="679" t="s">
        <v>759</v>
      </c>
      <c r="B71" s="681">
        <f>'Ted Inputs'!I27</f>
        <v>0</v>
      </c>
      <c r="C71" s="681"/>
      <c r="D71" s="689"/>
      <c r="E71" s="668"/>
      <c r="F71" s="679" t="s">
        <v>759</v>
      </c>
      <c r="G71" s="681">
        <f>'Ted Inputs'!I40</f>
        <v>0</v>
      </c>
      <c r="H71" s="681"/>
      <c r="I71" s="689"/>
      <c r="J71" s="668"/>
      <c r="K71" s="679" t="s">
        <v>759</v>
      </c>
      <c r="L71" s="681">
        <f>'Ted Inputs'!I53</f>
        <v>0</v>
      </c>
      <c r="M71" s="681"/>
      <c r="N71" s="689"/>
      <c r="O71" s="668"/>
      <c r="P71" s="679" t="s">
        <v>759</v>
      </c>
      <c r="Q71" s="681">
        <f>'Ted Inputs'!I66</f>
        <v>0</v>
      </c>
      <c r="R71" s="681"/>
      <c r="S71" s="689"/>
      <c r="U71" s="679" t="s">
        <v>759</v>
      </c>
      <c r="V71" s="681">
        <f>'Ted Inputs'!I79</f>
        <v>0</v>
      </c>
      <c r="W71" s="681"/>
      <c r="X71" s="689"/>
      <c r="Z71" s="679" t="s">
        <v>759</v>
      </c>
      <c r="AA71" s="681">
        <f>'Ted Inputs'!I92</f>
        <v>0</v>
      </c>
      <c r="AB71" s="681"/>
      <c r="AC71" s="689"/>
      <c r="AE71" s="679" t="s">
        <v>759</v>
      </c>
      <c r="AF71" s="681">
        <f>'Ted Inputs'!I105</f>
        <v>0</v>
      </c>
      <c r="AG71" s="681"/>
      <c r="AH71" s="689"/>
      <c r="AJ71" s="679" t="s">
        <v>759</v>
      </c>
      <c r="AK71" s="681">
        <f>'Ted Inputs'!I118</f>
        <v>0</v>
      </c>
      <c r="AL71" s="681"/>
      <c r="AM71" s="689"/>
      <c r="AO71" s="679" t="s">
        <v>759</v>
      </c>
      <c r="AP71" s="681">
        <f>'Ted Inputs'!I131</f>
        <v>0</v>
      </c>
      <c r="AQ71" s="681"/>
      <c r="AR71" s="689"/>
    </row>
    <row r="72" spans="1:44" ht="16" thickBot="1">
      <c r="A72" s="679" t="s">
        <v>774</v>
      </c>
      <c r="B72" s="681">
        <f>'Ted Inputs'!M27</f>
        <v>0</v>
      </c>
      <c r="C72" s="681"/>
      <c r="D72" s="681"/>
      <c r="E72" s="668"/>
      <c r="F72" s="679" t="s">
        <v>774</v>
      </c>
      <c r="G72" s="681">
        <f>'Ted Inputs'!M40</f>
        <v>0</v>
      </c>
      <c r="H72" s="681"/>
      <c r="I72" s="681"/>
      <c r="J72" s="668"/>
      <c r="K72" s="679" t="s">
        <v>774</v>
      </c>
      <c r="L72" s="681">
        <f>'Ted Inputs'!M53</f>
        <v>0</v>
      </c>
      <c r="M72" s="681"/>
      <c r="N72" s="681"/>
      <c r="O72" s="668"/>
      <c r="P72" s="679" t="s">
        <v>774</v>
      </c>
      <c r="Q72" s="681">
        <f>'Ted Inputs'!M66</f>
        <v>0</v>
      </c>
      <c r="R72" s="681"/>
      <c r="S72" s="681"/>
      <c r="U72" s="679" t="s">
        <v>774</v>
      </c>
      <c r="V72" s="681">
        <f>'Ted Inputs'!M79</f>
        <v>0</v>
      </c>
      <c r="W72" s="681"/>
      <c r="X72" s="681"/>
      <c r="Z72" s="679" t="s">
        <v>774</v>
      </c>
      <c r="AA72" s="681">
        <f>'Ted Inputs'!M92</f>
        <v>0</v>
      </c>
      <c r="AB72" s="681"/>
      <c r="AC72" s="681"/>
      <c r="AE72" s="679" t="s">
        <v>774</v>
      </c>
      <c r="AF72" s="681">
        <f>'Ted Inputs'!M105</f>
        <v>0</v>
      </c>
      <c r="AG72" s="681"/>
      <c r="AH72" s="681"/>
      <c r="AJ72" s="679" t="s">
        <v>774</v>
      </c>
      <c r="AK72" s="681">
        <f>'Ted Inputs'!M118</f>
        <v>0</v>
      </c>
      <c r="AL72" s="681"/>
      <c r="AM72" s="681"/>
      <c r="AO72" s="679" t="s">
        <v>774</v>
      </c>
      <c r="AP72" s="681">
        <f>'Ted Inputs'!M131</f>
        <v>0</v>
      </c>
      <c r="AQ72" s="681"/>
      <c r="AR72" s="681"/>
    </row>
    <row r="73" spans="1:44" ht="16" thickBot="1">
      <c r="A73" s="679" t="s">
        <v>762</v>
      </c>
      <c r="B73" s="680">
        <f>B71*B72</f>
        <v>0</v>
      </c>
      <c r="C73" s="681"/>
      <c r="D73" s="681"/>
      <c r="E73" s="668"/>
      <c r="F73" s="679" t="s">
        <v>762</v>
      </c>
      <c r="G73" s="680">
        <f>G71*G72</f>
        <v>0</v>
      </c>
      <c r="H73" s="681"/>
      <c r="I73" s="681"/>
      <c r="J73" s="668"/>
      <c r="K73" s="679" t="s">
        <v>762</v>
      </c>
      <c r="L73" s="680">
        <f>L71*L72</f>
        <v>0</v>
      </c>
      <c r="M73" s="681"/>
      <c r="N73" s="681"/>
      <c r="O73" s="668"/>
      <c r="P73" s="679" t="s">
        <v>762</v>
      </c>
      <c r="Q73" s="680">
        <f>Q71*Q72</f>
        <v>0</v>
      </c>
      <c r="R73" s="681"/>
      <c r="S73" s="681"/>
      <c r="U73" s="679" t="s">
        <v>762</v>
      </c>
      <c r="V73" s="680">
        <f>V71*V72</f>
        <v>0</v>
      </c>
      <c r="W73" s="681"/>
      <c r="X73" s="681"/>
      <c r="Z73" s="679" t="s">
        <v>762</v>
      </c>
      <c r="AA73" s="680">
        <f>AA71*AA72</f>
        <v>0</v>
      </c>
      <c r="AB73" s="681"/>
      <c r="AC73" s="681"/>
      <c r="AE73" s="679" t="s">
        <v>762</v>
      </c>
      <c r="AF73" s="680">
        <f>AF71*AF72</f>
        <v>0</v>
      </c>
      <c r="AG73" s="681"/>
      <c r="AH73" s="681"/>
      <c r="AJ73" s="679" t="s">
        <v>762</v>
      </c>
      <c r="AK73" s="680">
        <f>AK71*AK72</f>
        <v>0</v>
      </c>
      <c r="AL73" s="681"/>
      <c r="AM73" s="681"/>
      <c r="AO73" s="679" t="s">
        <v>762</v>
      </c>
      <c r="AP73" s="680">
        <f>AP71*AP72</f>
        <v>0</v>
      </c>
      <c r="AQ73" s="681"/>
      <c r="AR73" s="681"/>
    </row>
    <row r="74" spans="1:44" ht="16" thickBot="1">
      <c r="A74" s="679" t="s">
        <v>763</v>
      </c>
      <c r="B74" s="689" t="e">
        <f>D77/B73</f>
        <v>#DIV/0!</v>
      </c>
      <c r="C74" s="681"/>
      <c r="D74" s="689"/>
      <c r="E74" s="668"/>
      <c r="F74" s="679" t="s">
        <v>763</v>
      </c>
      <c r="G74" s="689" t="e">
        <f>I77/G73</f>
        <v>#DIV/0!</v>
      </c>
      <c r="H74" s="681"/>
      <c r="I74" s="689"/>
      <c r="J74" s="668"/>
      <c r="K74" s="679" t="s">
        <v>763</v>
      </c>
      <c r="L74" s="689" t="e">
        <f>N77/L73</f>
        <v>#DIV/0!</v>
      </c>
      <c r="M74" s="681"/>
      <c r="N74" s="689"/>
      <c r="O74" s="668"/>
      <c r="P74" s="679" t="s">
        <v>763</v>
      </c>
      <c r="Q74" s="689" t="e">
        <f>S77/Q73</f>
        <v>#DIV/0!</v>
      </c>
      <c r="R74" s="681"/>
      <c r="S74" s="689"/>
      <c r="U74" s="679" t="s">
        <v>763</v>
      </c>
      <c r="V74" s="689" t="e">
        <f>X77/V73</f>
        <v>#DIV/0!</v>
      </c>
      <c r="W74" s="681"/>
      <c r="X74" s="689"/>
      <c r="Z74" s="679" t="s">
        <v>763</v>
      </c>
      <c r="AA74" s="689" t="e">
        <f>AC77/AA73</f>
        <v>#DIV/0!</v>
      </c>
      <c r="AB74" s="681"/>
      <c r="AC74" s="689"/>
      <c r="AE74" s="679" t="s">
        <v>763</v>
      </c>
      <c r="AF74" s="689" t="e">
        <f>AH77/AF73</f>
        <v>#DIV/0!</v>
      </c>
      <c r="AG74" s="681"/>
      <c r="AH74" s="689"/>
      <c r="AJ74" s="679" t="s">
        <v>763</v>
      </c>
      <c r="AK74" s="689" t="e">
        <f>AM77/AK73</f>
        <v>#DIV/0!</v>
      </c>
      <c r="AL74" s="681"/>
      <c r="AM74" s="689"/>
      <c r="AO74" s="679" t="s">
        <v>763</v>
      </c>
      <c r="AP74" s="689" t="e">
        <f>AR77/AP73</f>
        <v>#DIV/0!</v>
      </c>
      <c r="AQ74" s="681"/>
      <c r="AR74" s="689"/>
    </row>
    <row r="75" spans="1:44" ht="16" thickBot="1">
      <c r="A75" s="690"/>
      <c r="B75" s="691" t="s">
        <v>250</v>
      </c>
      <c r="C75" s="691" t="s">
        <v>764</v>
      </c>
      <c r="D75" s="691" t="s">
        <v>18</v>
      </c>
      <c r="E75" s="668"/>
      <c r="F75" s="690"/>
      <c r="G75" s="691" t="s">
        <v>250</v>
      </c>
      <c r="H75" s="691" t="s">
        <v>764</v>
      </c>
      <c r="I75" s="691" t="s">
        <v>18</v>
      </c>
      <c r="J75" s="668"/>
      <c r="K75" s="690"/>
      <c r="L75" s="691" t="s">
        <v>250</v>
      </c>
      <c r="M75" s="691" t="s">
        <v>764</v>
      </c>
      <c r="N75" s="691" t="s">
        <v>18</v>
      </c>
      <c r="O75" s="668"/>
      <c r="P75" s="690"/>
      <c r="Q75" s="691" t="s">
        <v>250</v>
      </c>
      <c r="R75" s="691" t="s">
        <v>764</v>
      </c>
      <c r="S75" s="691" t="s">
        <v>18</v>
      </c>
      <c r="U75" s="690"/>
      <c r="V75" s="691" t="s">
        <v>250</v>
      </c>
      <c r="W75" s="691" t="s">
        <v>764</v>
      </c>
      <c r="X75" s="691" t="s">
        <v>18</v>
      </c>
      <c r="Z75" s="690"/>
      <c r="AA75" s="691" t="s">
        <v>250</v>
      </c>
      <c r="AB75" s="691" t="s">
        <v>764</v>
      </c>
      <c r="AC75" s="691" t="s">
        <v>18</v>
      </c>
      <c r="AE75" s="690"/>
      <c r="AF75" s="691" t="s">
        <v>250</v>
      </c>
      <c r="AG75" s="691" t="s">
        <v>764</v>
      </c>
      <c r="AH75" s="691" t="s">
        <v>18</v>
      </c>
      <c r="AJ75" s="690"/>
      <c r="AK75" s="691" t="s">
        <v>250</v>
      </c>
      <c r="AL75" s="691" t="s">
        <v>764</v>
      </c>
      <c r="AM75" s="691" t="s">
        <v>18</v>
      </c>
      <c r="AO75" s="690"/>
      <c r="AP75" s="691" t="s">
        <v>250</v>
      </c>
      <c r="AQ75" s="691" t="s">
        <v>764</v>
      </c>
      <c r="AR75" s="691" t="s">
        <v>18</v>
      </c>
    </row>
    <row r="76" spans="1:44" ht="16" thickBot="1">
      <c r="A76" s="692" t="s">
        <v>765</v>
      </c>
      <c r="B76" s="693">
        <f>ROUND(C76*$B$89,2)</f>
        <v>0</v>
      </c>
      <c r="C76" s="694">
        <f>C69</f>
        <v>0</v>
      </c>
      <c r="D76" s="694">
        <f>C69</f>
        <v>0</v>
      </c>
      <c r="E76" s="668"/>
      <c r="F76" s="692" t="s">
        <v>765</v>
      </c>
      <c r="G76" s="693">
        <f>ROUND(H76*$B$89,2)</f>
        <v>0</v>
      </c>
      <c r="H76" s="694">
        <f>H69</f>
        <v>0</v>
      </c>
      <c r="I76" s="694">
        <f>H69</f>
        <v>0</v>
      </c>
      <c r="J76" s="668"/>
      <c r="K76" s="692" t="s">
        <v>765</v>
      </c>
      <c r="L76" s="693">
        <f>ROUND(M76*$B$89,2)</f>
        <v>0</v>
      </c>
      <c r="M76" s="694">
        <f>M69</f>
        <v>0</v>
      </c>
      <c r="N76" s="694">
        <f>M69</f>
        <v>0</v>
      </c>
      <c r="O76" s="668"/>
      <c r="P76" s="692" t="s">
        <v>765</v>
      </c>
      <c r="Q76" s="693">
        <f>ROUND(R76*$B$89,2)</f>
        <v>0</v>
      </c>
      <c r="R76" s="694">
        <f>R69</f>
        <v>0</v>
      </c>
      <c r="S76" s="694">
        <f>R69</f>
        <v>0</v>
      </c>
      <c r="U76" s="692" t="s">
        <v>765</v>
      </c>
      <c r="V76" s="693">
        <f>ROUND(W76*$B$89,2)</f>
        <v>0</v>
      </c>
      <c r="W76" s="694">
        <f>W69</f>
        <v>0</v>
      </c>
      <c r="X76" s="694">
        <f>W69</f>
        <v>0</v>
      </c>
      <c r="Z76" s="692" t="s">
        <v>765</v>
      </c>
      <c r="AA76" s="693">
        <f>ROUND(AB76*$B$89,2)</f>
        <v>0</v>
      </c>
      <c r="AB76" s="694">
        <f>AB69</f>
        <v>0</v>
      </c>
      <c r="AC76" s="694">
        <f>AB69</f>
        <v>0</v>
      </c>
      <c r="AE76" s="692" t="s">
        <v>765</v>
      </c>
      <c r="AF76" s="693">
        <f>ROUND(AG76*$B$89,2)</f>
        <v>0</v>
      </c>
      <c r="AG76" s="694">
        <f>AG69</f>
        <v>0</v>
      </c>
      <c r="AH76" s="694">
        <f>AG69</f>
        <v>0</v>
      </c>
      <c r="AJ76" s="692" t="s">
        <v>765</v>
      </c>
      <c r="AK76" s="693">
        <f>ROUND(AL76*$B$89,2)</f>
        <v>0</v>
      </c>
      <c r="AL76" s="694">
        <f>AL69</f>
        <v>0</v>
      </c>
      <c r="AM76" s="694">
        <f>AL69</f>
        <v>0</v>
      </c>
      <c r="AO76" s="692" t="s">
        <v>765</v>
      </c>
      <c r="AP76" s="693">
        <f>ROUND(AQ76*$B$89,2)</f>
        <v>0</v>
      </c>
      <c r="AQ76" s="694">
        <f>AQ69</f>
        <v>0</v>
      </c>
      <c r="AR76" s="694">
        <f>AQ69</f>
        <v>0</v>
      </c>
    </row>
    <row r="77" spans="1:44" ht="16" thickBot="1">
      <c r="A77" s="692" t="s">
        <v>767</v>
      </c>
      <c r="B77" s="693">
        <f>ROUND(B76*B71,2)</f>
        <v>0</v>
      </c>
      <c r="C77" s="694">
        <f>ROUND(C76*B71,2)</f>
        <v>0</v>
      </c>
      <c r="D77" s="694">
        <f>ROUND(D76*B71,2)</f>
        <v>0</v>
      </c>
      <c r="E77" s="668"/>
      <c r="F77" s="692" t="s">
        <v>767</v>
      </c>
      <c r="G77" s="693">
        <f>ROUND(G76*G71,2)</f>
        <v>0</v>
      </c>
      <c r="H77" s="694">
        <f>ROUND(H76*G71,2)</f>
        <v>0</v>
      </c>
      <c r="I77" s="694">
        <f>ROUND(I76*G71,2)</f>
        <v>0</v>
      </c>
      <c r="J77" s="668"/>
      <c r="K77" s="692" t="s">
        <v>767</v>
      </c>
      <c r="L77" s="693">
        <f>ROUND(L76*L71,2)</f>
        <v>0</v>
      </c>
      <c r="M77" s="694">
        <f>ROUND(M76*L71,2)</f>
        <v>0</v>
      </c>
      <c r="N77" s="694">
        <f>ROUND(N76*L71,2)</f>
        <v>0</v>
      </c>
      <c r="O77" s="668"/>
      <c r="P77" s="692" t="s">
        <v>767</v>
      </c>
      <c r="Q77" s="693">
        <f>ROUND(Q76*Q71,2)</f>
        <v>0</v>
      </c>
      <c r="R77" s="694">
        <f>ROUND(R76*Q71,2)</f>
        <v>0</v>
      </c>
      <c r="S77" s="694">
        <f>ROUND(S76*Q71,2)</f>
        <v>0</v>
      </c>
      <c r="U77" s="692" t="s">
        <v>767</v>
      </c>
      <c r="V77" s="693">
        <f>ROUND(V76*V71,2)</f>
        <v>0</v>
      </c>
      <c r="W77" s="694">
        <f>ROUND(W76*V71,2)</f>
        <v>0</v>
      </c>
      <c r="X77" s="694">
        <f>ROUND(X76*V71,2)</f>
        <v>0</v>
      </c>
      <c r="Z77" s="692" t="s">
        <v>767</v>
      </c>
      <c r="AA77" s="693">
        <f>ROUND(AA76*AA71,2)</f>
        <v>0</v>
      </c>
      <c r="AB77" s="694">
        <f>ROUND(AB76*AA71,2)</f>
        <v>0</v>
      </c>
      <c r="AC77" s="694">
        <f>ROUND(AC76*AA71,2)</f>
        <v>0</v>
      </c>
      <c r="AE77" s="692" t="s">
        <v>767</v>
      </c>
      <c r="AF77" s="693">
        <f>ROUND(AF76*AF71,2)</f>
        <v>0</v>
      </c>
      <c r="AG77" s="694">
        <f>ROUND(AG76*AF71,2)</f>
        <v>0</v>
      </c>
      <c r="AH77" s="694">
        <f>ROUND(AH76*AF71,2)</f>
        <v>0</v>
      </c>
      <c r="AJ77" s="692" t="s">
        <v>767</v>
      </c>
      <c r="AK77" s="693">
        <f>ROUND(AK76*AK71,2)</f>
        <v>0</v>
      </c>
      <c r="AL77" s="694">
        <f>ROUND(AL76*AK71,2)</f>
        <v>0</v>
      </c>
      <c r="AM77" s="694">
        <f>ROUND(AM76*AK71,2)</f>
        <v>0</v>
      </c>
      <c r="AO77" s="692" t="s">
        <v>767</v>
      </c>
      <c r="AP77" s="693">
        <f>ROUND(AP76*AP71,2)</f>
        <v>0</v>
      </c>
      <c r="AQ77" s="694">
        <f>ROUND(AQ76*AP71,2)</f>
        <v>0</v>
      </c>
      <c r="AR77" s="694">
        <f>ROUND(AR76*AP71,2)</f>
        <v>0</v>
      </c>
    </row>
    <row r="78" spans="1:44">
      <c r="A78" s="668"/>
      <c r="B78" s="668"/>
      <c r="C78" s="668"/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668"/>
      <c r="P78" s="668"/>
      <c r="Q78" s="668"/>
      <c r="R78" s="668"/>
      <c r="S78" s="668"/>
      <c r="U78" s="668"/>
      <c r="V78" s="668"/>
      <c r="W78" s="668"/>
      <c r="X78" s="668"/>
      <c r="Z78" s="668"/>
      <c r="AA78" s="668"/>
      <c r="AB78" s="668"/>
      <c r="AC78" s="668"/>
      <c r="AE78" s="668"/>
      <c r="AF78" s="668"/>
      <c r="AG78" s="668"/>
      <c r="AH78" s="668"/>
      <c r="AJ78" s="668"/>
      <c r="AK78" s="668"/>
      <c r="AL78" s="668"/>
      <c r="AM78" s="668"/>
      <c r="AO78" s="668"/>
      <c r="AP78" s="668"/>
      <c r="AQ78" s="668"/>
      <c r="AR78" s="668"/>
    </row>
    <row r="79" spans="1:44">
      <c r="A79" s="668" t="s">
        <v>149</v>
      </c>
      <c r="B79" s="696">
        <f>B13+B29+B45+B61+B73</f>
        <v>3060000</v>
      </c>
      <c r="C79" s="668"/>
      <c r="D79" s="697"/>
      <c r="E79" s="668"/>
      <c r="F79" s="668" t="s">
        <v>149</v>
      </c>
      <c r="G79" s="696">
        <f>G13+G29+G45+G61+G73</f>
        <v>4200000</v>
      </c>
      <c r="H79" s="668"/>
      <c r="I79" s="697"/>
      <c r="J79" s="668"/>
      <c r="K79" s="668" t="s">
        <v>149</v>
      </c>
      <c r="L79" s="696">
        <f>L13+L29+L45+L61+L73</f>
        <v>5340000</v>
      </c>
      <c r="M79" s="668"/>
      <c r="N79" s="697"/>
      <c r="O79" s="668"/>
      <c r="P79" s="668" t="s">
        <v>149</v>
      </c>
      <c r="Q79" s="696">
        <f>Q13+Q29+Q45+Q61+Q73</f>
        <v>6480000</v>
      </c>
      <c r="R79" s="668"/>
      <c r="S79" s="697"/>
      <c r="U79" s="668" t="s">
        <v>149</v>
      </c>
      <c r="V79" s="696">
        <f>V13+V29+V45+V61+V73</f>
        <v>0</v>
      </c>
      <c r="W79" s="668"/>
      <c r="X79" s="697"/>
      <c r="Z79" s="668" t="s">
        <v>149</v>
      </c>
      <c r="AA79" s="696">
        <f>AA13+AA29+AA45+AA61+AA73</f>
        <v>0</v>
      </c>
      <c r="AB79" s="668"/>
      <c r="AC79" s="697"/>
      <c r="AE79" s="668" t="s">
        <v>149</v>
      </c>
      <c r="AF79" s="696">
        <f>AF13+AF29+AF45+AF61+AF73</f>
        <v>0</v>
      </c>
      <c r="AG79" s="668"/>
      <c r="AH79" s="697"/>
      <c r="AJ79" s="668" t="s">
        <v>149</v>
      </c>
      <c r="AK79" s="696">
        <f>AK13+AK29+AK45+AK61+AK73</f>
        <v>0</v>
      </c>
      <c r="AL79" s="668"/>
      <c r="AM79" s="697"/>
      <c r="AO79" s="668" t="s">
        <v>149</v>
      </c>
      <c r="AP79" s="696">
        <f>AP13+AP29+AP45+AP61+AP73</f>
        <v>0</v>
      </c>
      <c r="AQ79" s="668"/>
      <c r="AR79" s="697"/>
    </row>
    <row r="80" spans="1:44">
      <c r="A80" s="668" t="s">
        <v>761</v>
      </c>
      <c r="B80" s="696">
        <f>B12+B28+B44+B60</f>
        <v>522000</v>
      </c>
      <c r="C80" s="668"/>
      <c r="D80" s="697"/>
      <c r="E80" s="668"/>
      <c r="F80" s="668" t="s">
        <v>761</v>
      </c>
      <c r="G80" s="696">
        <f>G12+G28+G44+G60</f>
        <v>720000</v>
      </c>
      <c r="H80" s="668"/>
      <c r="I80" s="697"/>
      <c r="J80" s="668"/>
      <c r="K80" s="668" t="s">
        <v>761</v>
      </c>
      <c r="L80" s="696">
        <f>L12+L28+L44+L60</f>
        <v>918000</v>
      </c>
      <c r="M80" s="668"/>
      <c r="N80" s="697"/>
      <c r="O80" s="668"/>
      <c r="P80" s="668" t="s">
        <v>761</v>
      </c>
      <c r="Q80" s="696">
        <f>Q12+Q28+Q44+Q60</f>
        <v>1116000</v>
      </c>
      <c r="R80" s="668"/>
      <c r="S80" s="697"/>
      <c r="U80" s="668" t="s">
        <v>761</v>
      </c>
      <c r="V80" s="696">
        <f>V12+V28+V44+V60</f>
        <v>0</v>
      </c>
      <c r="W80" s="668"/>
      <c r="X80" s="697"/>
      <c r="Z80" s="668" t="s">
        <v>761</v>
      </c>
      <c r="AA80" s="696">
        <f>AA12+AA28+AA44+AA60</f>
        <v>0</v>
      </c>
      <c r="AB80" s="668"/>
      <c r="AC80" s="697"/>
      <c r="AE80" s="668" t="s">
        <v>761</v>
      </c>
      <c r="AF80" s="696">
        <f>AF12+AF28+AF44+AF60</f>
        <v>0</v>
      </c>
      <c r="AG80" s="668"/>
      <c r="AH80" s="697"/>
      <c r="AJ80" s="668" t="s">
        <v>761</v>
      </c>
      <c r="AK80" s="696">
        <f>AK12+AK28+AK44+AK60</f>
        <v>0</v>
      </c>
      <c r="AL80" s="668"/>
      <c r="AM80" s="697"/>
      <c r="AO80" s="668" t="s">
        <v>761</v>
      </c>
      <c r="AP80" s="696">
        <f>AP12+AP28+AP44+AP60</f>
        <v>0</v>
      </c>
      <c r="AQ80" s="668"/>
      <c r="AR80" s="697"/>
    </row>
    <row r="81" spans="1:68">
      <c r="A81" s="668" t="s">
        <v>144</v>
      </c>
      <c r="B81" s="696">
        <f>B9+B41+B25+B57+B71</f>
        <v>75000</v>
      </c>
      <c r="C81" s="668"/>
      <c r="D81" s="697"/>
      <c r="E81" s="668"/>
      <c r="F81" s="668" t="s">
        <v>144</v>
      </c>
      <c r="G81" s="696">
        <f>G9+G41+G25+G57+G71</f>
        <v>102000</v>
      </c>
      <c r="H81" s="668"/>
      <c r="I81" s="697"/>
      <c r="J81" s="668"/>
      <c r="K81" s="668" t="s">
        <v>144</v>
      </c>
      <c r="L81" s="696">
        <f>L9+L41+L25+L57+L71</f>
        <v>129000</v>
      </c>
      <c r="M81" s="668"/>
      <c r="N81" s="697"/>
      <c r="O81" s="668"/>
      <c r="P81" s="668" t="s">
        <v>144</v>
      </c>
      <c r="Q81" s="696">
        <f>Q9+Q41+Q25+Q57+Q71</f>
        <v>156000</v>
      </c>
      <c r="R81" s="668"/>
      <c r="S81" s="697"/>
      <c r="U81" s="668" t="s">
        <v>144</v>
      </c>
      <c r="V81" s="696">
        <f>V9+V41+V25+V57+V71</f>
        <v>0</v>
      </c>
      <c r="W81" s="668"/>
      <c r="X81" s="697"/>
      <c r="Z81" s="668" t="s">
        <v>144</v>
      </c>
      <c r="AA81" s="696">
        <f>AA9+AA41+AA25+AA57+AA71</f>
        <v>0</v>
      </c>
      <c r="AB81" s="668"/>
      <c r="AC81" s="697"/>
      <c r="AE81" s="668" t="s">
        <v>144</v>
      </c>
      <c r="AF81" s="696">
        <f>AF9+AF41+AF25+AF57+AF71</f>
        <v>0</v>
      </c>
      <c r="AG81" s="668"/>
      <c r="AH81" s="697"/>
      <c r="AJ81" s="668" t="s">
        <v>144</v>
      </c>
      <c r="AK81" s="696">
        <f>AK9+AK41+AK25+AK57+AK71</f>
        <v>0</v>
      </c>
      <c r="AL81" s="668"/>
      <c r="AM81" s="697"/>
      <c r="AO81" s="668" t="s">
        <v>144</v>
      </c>
      <c r="AP81" s="696">
        <f>AP9+AP41+AP25+AP57+AP71</f>
        <v>0</v>
      </c>
      <c r="AQ81" s="668"/>
      <c r="AR81" s="697"/>
    </row>
    <row r="82" spans="1:68">
      <c r="A82" s="668" t="s">
        <v>140</v>
      </c>
      <c r="B82" s="696">
        <f>B7+B23+B39+B55</f>
        <v>3250</v>
      </c>
      <c r="C82" s="668"/>
      <c r="D82" s="698"/>
      <c r="E82" s="668"/>
      <c r="F82" s="668" t="s">
        <v>140</v>
      </c>
      <c r="G82" s="696">
        <f>G7+G23+G39+G55</f>
        <v>4500</v>
      </c>
      <c r="H82" s="668"/>
      <c r="I82" s="698"/>
      <c r="J82" s="668"/>
      <c r="K82" s="668" t="s">
        <v>140</v>
      </c>
      <c r="L82" s="696">
        <f>L7+L23+L39+L55</f>
        <v>5750</v>
      </c>
      <c r="M82" s="668"/>
      <c r="N82" s="698"/>
      <c r="O82" s="668"/>
      <c r="P82" s="668" t="s">
        <v>140</v>
      </c>
      <c r="Q82" s="696">
        <f>Q7+Q23+Q39+Q55</f>
        <v>7000</v>
      </c>
      <c r="U82" s="668" t="s">
        <v>140</v>
      </c>
      <c r="V82" s="696">
        <f>V7+V23+V39+V55</f>
        <v>0</v>
      </c>
      <c r="Z82" s="668" t="s">
        <v>140</v>
      </c>
      <c r="AA82" s="696">
        <f>AA7+AA23+AA39+AA55</f>
        <v>0</v>
      </c>
      <c r="AE82" s="668" t="s">
        <v>140</v>
      </c>
      <c r="AF82" s="696">
        <f>AF7+AF23+AF39+AF55</f>
        <v>0</v>
      </c>
      <c r="AJ82" s="668" t="s">
        <v>140</v>
      </c>
      <c r="AK82" s="696">
        <f>AK7+AK23+AK39+AK55</f>
        <v>0</v>
      </c>
      <c r="AO82" s="668" t="s">
        <v>140</v>
      </c>
      <c r="AP82" s="696">
        <f>AP7+AP23+AP39+AP55</f>
        <v>0</v>
      </c>
    </row>
    <row r="83" spans="1:68" ht="16" thickBot="1"/>
    <row r="84" spans="1:68">
      <c r="A84" s="573"/>
      <c r="B84" s="574"/>
      <c r="C84" s="574"/>
      <c r="D84" s="575"/>
      <c r="F84" s="573"/>
      <c r="G84" s="574"/>
      <c r="H84" s="574"/>
      <c r="I84" s="575"/>
      <c r="K84" s="573"/>
      <c r="L84" s="574"/>
      <c r="M84" s="574"/>
      <c r="N84" s="575"/>
      <c r="P84" s="573"/>
      <c r="Q84" s="574"/>
      <c r="R84" s="574"/>
      <c r="S84" s="575"/>
      <c r="U84" s="573"/>
      <c r="V84" s="574"/>
      <c r="W84" s="574"/>
      <c r="X84" s="575"/>
      <c r="Z84" s="573"/>
      <c r="AA84" s="574"/>
      <c r="AB84" s="574"/>
      <c r="AC84" s="575"/>
      <c r="AE84" s="573"/>
      <c r="AF84" s="574"/>
      <c r="AG84" s="574"/>
      <c r="AH84" s="575"/>
      <c r="AJ84" s="573"/>
      <c r="AK84" s="574"/>
      <c r="AL84" s="574"/>
      <c r="AM84" s="575"/>
      <c r="AO84" s="573"/>
      <c r="AP84" s="574"/>
      <c r="AQ84" s="574"/>
      <c r="AR84" s="575"/>
    </row>
    <row r="85" spans="1:68">
      <c r="A85" s="576" t="s">
        <v>18</v>
      </c>
      <c r="B85" s="577"/>
      <c r="C85" s="699">
        <f>D18+D34+D50+D66+D77</f>
        <v>4274700</v>
      </c>
      <c r="D85" s="579"/>
      <c r="F85" s="576" t="s">
        <v>18</v>
      </c>
      <c r="G85" s="577"/>
      <c r="H85" s="699">
        <f>I18+I34+I50+I66+I77</f>
        <v>6099580</v>
      </c>
      <c r="I85" s="579"/>
      <c r="K85" s="576" t="s">
        <v>18</v>
      </c>
      <c r="L85" s="577"/>
      <c r="M85" s="699">
        <f>N18+N34+N50+N66+N77</f>
        <v>7924460</v>
      </c>
      <c r="N85" s="579"/>
      <c r="P85" s="576" t="s">
        <v>18</v>
      </c>
      <c r="Q85" s="577"/>
      <c r="R85" s="699">
        <f>S18+S34+S50+S66+S77</f>
        <v>9749340</v>
      </c>
      <c r="S85" s="579"/>
      <c r="U85" s="576" t="s">
        <v>18</v>
      </c>
      <c r="V85" s="577"/>
      <c r="W85" s="699">
        <f>X18+X34+X50+X66+X77</f>
        <v>0</v>
      </c>
      <c r="X85" s="579"/>
      <c r="Z85" s="576" t="s">
        <v>18</v>
      </c>
      <c r="AA85" s="577"/>
      <c r="AB85" s="699">
        <f>AC18+AC34+AC50+AC66+AC77</f>
        <v>0</v>
      </c>
      <c r="AC85" s="579"/>
      <c r="AE85" s="576" t="s">
        <v>18</v>
      </c>
      <c r="AF85" s="577"/>
      <c r="AG85" s="699">
        <f>AH18+AH34+AH50+AH66+AH77</f>
        <v>0</v>
      </c>
      <c r="AH85" s="579"/>
      <c r="AJ85" s="576" t="s">
        <v>18</v>
      </c>
      <c r="AK85" s="577"/>
      <c r="AL85" s="699">
        <f>AM18+AM34+AM50+AM66+AM77</f>
        <v>0</v>
      </c>
      <c r="AM85" s="579"/>
      <c r="AO85" s="576" t="s">
        <v>18</v>
      </c>
      <c r="AP85" s="577"/>
      <c r="AQ85" s="699">
        <f>AR18+AR34+AR50+AR66+AR77</f>
        <v>0</v>
      </c>
      <c r="AR85" s="579"/>
    </row>
    <row r="86" spans="1:68">
      <c r="A86" s="580" t="s">
        <v>728</v>
      </c>
      <c r="B86" s="700">
        <f>C86/C85</f>
        <v>0.55614195148197532</v>
      </c>
      <c r="C86" s="701">
        <f>C18+C34+C50+C66+C77</f>
        <v>2377340</v>
      </c>
      <c r="D86" s="579"/>
      <c r="F86" s="580" t="s">
        <v>728</v>
      </c>
      <c r="G86" s="700">
        <f>H86/H85</f>
        <v>0.55901799796051532</v>
      </c>
      <c r="H86" s="701">
        <f>H18+H34+H50+H66+H77</f>
        <v>3409775</v>
      </c>
      <c r="I86" s="579"/>
      <c r="K86" s="580" t="s">
        <v>728</v>
      </c>
      <c r="L86" s="700">
        <f>M86/M85</f>
        <v>0.56056942681267874</v>
      </c>
      <c r="M86" s="701">
        <f>M18+M34+M50+M66+M77</f>
        <v>4442210</v>
      </c>
      <c r="N86" s="579"/>
      <c r="P86" s="580" t="s">
        <v>728</v>
      </c>
      <c r="Q86" s="700">
        <f>L86</f>
        <v>0.56056942681267874</v>
      </c>
      <c r="R86" s="701">
        <f>R18+R34+R50+R66+R77</f>
        <v>5474645</v>
      </c>
      <c r="S86" s="579"/>
      <c r="U86" s="580" t="s">
        <v>728</v>
      </c>
      <c r="V86" s="700">
        <f>Q86</f>
        <v>0.56056942681267874</v>
      </c>
      <c r="W86" s="701">
        <f>W18+W34+W50+W66+W77</f>
        <v>0</v>
      </c>
      <c r="X86" s="579"/>
      <c r="Z86" s="580" t="s">
        <v>728</v>
      </c>
      <c r="AA86" s="700">
        <f>V86</f>
        <v>0.56056942681267874</v>
      </c>
      <c r="AB86" s="701">
        <f>AB18+AB34+AB50+AB66+AB77</f>
        <v>0</v>
      </c>
      <c r="AC86" s="579"/>
      <c r="AE86" s="580" t="s">
        <v>728</v>
      </c>
      <c r="AF86" s="700">
        <f>AA86</f>
        <v>0.56056942681267874</v>
      </c>
      <c r="AG86" s="701">
        <f>AG18+AG34+AG50+AG66+AG77</f>
        <v>0</v>
      </c>
      <c r="AH86" s="579"/>
      <c r="AJ86" s="580" t="s">
        <v>728</v>
      </c>
      <c r="AK86" s="700">
        <f>AF86</f>
        <v>0.56056942681267874</v>
      </c>
      <c r="AL86" s="701">
        <f>AL18+AL34+AL50+AL66+AL77</f>
        <v>0</v>
      </c>
      <c r="AM86" s="579"/>
      <c r="AO86" s="580" t="s">
        <v>728</v>
      </c>
      <c r="AP86" s="700">
        <f>AK86</f>
        <v>0.56056942681267874</v>
      </c>
      <c r="AQ86" s="701">
        <f>AQ18+AQ34+AQ50+AQ66+AQ77</f>
        <v>0</v>
      </c>
      <c r="AR86" s="579"/>
    </row>
    <row r="87" spans="1:68">
      <c r="A87" s="580" t="s">
        <v>870</v>
      </c>
      <c r="B87" s="700">
        <f>'Ted Inputs'!G12</f>
        <v>0.05</v>
      </c>
      <c r="C87" s="701">
        <f>-ROUND(C86*B87,2)</f>
        <v>-118867</v>
      </c>
      <c r="D87" s="579"/>
      <c r="F87" s="580" t="s">
        <v>870</v>
      </c>
      <c r="G87" s="700">
        <f>'Ted Inputs'!G12</f>
        <v>0.05</v>
      </c>
      <c r="H87" s="701">
        <f>-ROUND(H86*G87,2)</f>
        <v>-170488.75</v>
      </c>
      <c r="I87" s="579"/>
      <c r="K87" s="580" t="s">
        <v>870</v>
      </c>
      <c r="L87" s="700">
        <f>B87</f>
        <v>0.05</v>
      </c>
      <c r="M87" s="701">
        <f>-ROUND(M86*L87,2)</f>
        <v>-222110.5</v>
      </c>
      <c r="N87" s="579"/>
      <c r="P87" s="580" t="s">
        <v>870</v>
      </c>
      <c r="Q87" s="700">
        <f>L87</f>
        <v>0.05</v>
      </c>
      <c r="R87" s="701">
        <f>-ROUND(R86*Q87,2)</f>
        <v>-273732.25</v>
      </c>
      <c r="S87" s="579"/>
      <c r="U87" s="580" t="s">
        <v>870</v>
      </c>
      <c r="V87" s="700">
        <f>Q87</f>
        <v>0.05</v>
      </c>
      <c r="W87" s="701">
        <f>-ROUND(W86*V87,2)</f>
        <v>0</v>
      </c>
      <c r="X87" s="579"/>
      <c r="Z87" s="580" t="s">
        <v>870</v>
      </c>
      <c r="AA87" s="700">
        <f>V87</f>
        <v>0.05</v>
      </c>
      <c r="AB87" s="701">
        <f>-ROUND(AB86*AA87,2)</f>
        <v>0</v>
      </c>
      <c r="AC87" s="579"/>
      <c r="AE87" s="580" t="s">
        <v>870</v>
      </c>
      <c r="AF87" s="700">
        <f>AA87</f>
        <v>0.05</v>
      </c>
      <c r="AG87" s="701">
        <f>-ROUND(AG86*AF87,2)</f>
        <v>0</v>
      </c>
      <c r="AH87" s="579"/>
      <c r="AJ87" s="580" t="s">
        <v>870</v>
      </c>
      <c r="AK87" s="700">
        <f>AF87</f>
        <v>0.05</v>
      </c>
      <c r="AL87" s="701">
        <f>-ROUND(AL86*AK87,2)</f>
        <v>0</v>
      </c>
      <c r="AM87" s="579"/>
      <c r="AO87" s="580" t="s">
        <v>870</v>
      </c>
      <c r="AP87" s="700">
        <f>AK87</f>
        <v>0.05</v>
      </c>
      <c r="AQ87" s="701">
        <f>-ROUND(AQ86*AP87,2)</f>
        <v>0</v>
      </c>
      <c r="AR87" s="579"/>
    </row>
    <row r="88" spans="1:68">
      <c r="A88" s="580" t="s">
        <v>730</v>
      </c>
      <c r="B88" s="700"/>
      <c r="C88" s="702">
        <f>C86+C87</f>
        <v>2258473</v>
      </c>
      <c r="D88" s="579"/>
      <c r="F88" s="580" t="s">
        <v>730</v>
      </c>
      <c r="G88" s="700"/>
      <c r="H88" s="702">
        <f>H86+H87</f>
        <v>3239286.25</v>
      </c>
      <c r="I88" s="579"/>
      <c r="K88" s="580" t="s">
        <v>730</v>
      </c>
      <c r="L88" s="700"/>
      <c r="M88" s="702">
        <f>M86+M87</f>
        <v>4220099.5</v>
      </c>
      <c r="N88" s="579"/>
      <c r="P88" s="580" t="s">
        <v>730</v>
      </c>
      <c r="Q88" s="700"/>
      <c r="R88" s="702">
        <f>R86+R87</f>
        <v>5200912.75</v>
      </c>
      <c r="S88" s="579"/>
      <c r="U88" s="580" t="s">
        <v>730</v>
      </c>
      <c r="V88" s="700"/>
      <c r="W88" s="702">
        <f>W86+W87</f>
        <v>0</v>
      </c>
      <c r="X88" s="579"/>
      <c r="Z88" s="580" t="s">
        <v>730</v>
      </c>
      <c r="AA88" s="700"/>
      <c r="AB88" s="702">
        <f>AB86+AB87</f>
        <v>0</v>
      </c>
      <c r="AC88" s="579"/>
      <c r="AE88" s="580" t="s">
        <v>730</v>
      </c>
      <c r="AF88" s="700"/>
      <c r="AG88" s="702">
        <f>AG86+AG87</f>
        <v>0</v>
      </c>
      <c r="AH88" s="579"/>
      <c r="AJ88" s="580" t="s">
        <v>730</v>
      </c>
      <c r="AK88" s="700"/>
      <c r="AL88" s="702">
        <f>AL86+AL87</f>
        <v>0</v>
      </c>
      <c r="AM88" s="579"/>
      <c r="AO88" s="580" t="s">
        <v>730</v>
      </c>
      <c r="AP88" s="700"/>
      <c r="AQ88" s="702">
        <f>AQ86+AQ87</f>
        <v>0</v>
      </c>
      <c r="AR88" s="579"/>
    </row>
    <row r="89" spans="1:68">
      <c r="A89" s="580" t="s">
        <v>729</v>
      </c>
      <c r="B89" s="700">
        <f>'Ted Inputs'!G14</f>
        <v>0.5</v>
      </c>
      <c r="C89" s="701">
        <f>-ROUND(C88*B89,2)</f>
        <v>-1129236.5</v>
      </c>
      <c r="D89" s="584"/>
      <c r="F89" s="580" t="s">
        <v>729</v>
      </c>
      <c r="G89" s="700">
        <f>'Ted Inputs'!G14</f>
        <v>0.5</v>
      </c>
      <c r="H89" s="701">
        <f>-ROUND(H88*G89,2)</f>
        <v>-1619643.13</v>
      </c>
      <c r="I89" s="584"/>
      <c r="K89" s="580" t="s">
        <v>729</v>
      </c>
      <c r="L89" s="700">
        <f>B89</f>
        <v>0.5</v>
      </c>
      <c r="M89" s="701">
        <f>-ROUND(M88*L89,2)</f>
        <v>-2110049.75</v>
      </c>
      <c r="N89" s="584"/>
      <c r="P89" s="580" t="s">
        <v>729</v>
      </c>
      <c r="Q89" s="700">
        <f>L89</f>
        <v>0.5</v>
      </c>
      <c r="R89" s="701">
        <f>-ROUND(R88*Q89,2)</f>
        <v>-2600456.38</v>
      </c>
      <c r="S89" s="584"/>
      <c r="U89" s="580" t="s">
        <v>729</v>
      </c>
      <c r="V89" s="700">
        <f>Q89</f>
        <v>0.5</v>
      </c>
      <c r="W89" s="701">
        <f>-ROUND(W88*V89,2)</f>
        <v>0</v>
      </c>
      <c r="X89" s="584"/>
      <c r="Z89" s="580" t="s">
        <v>729</v>
      </c>
      <c r="AA89" s="700">
        <f>V89</f>
        <v>0.5</v>
      </c>
      <c r="AB89" s="701">
        <f>-ROUND(AB88*AA89,2)</f>
        <v>0</v>
      </c>
      <c r="AC89" s="584"/>
      <c r="AE89" s="580" t="s">
        <v>729</v>
      </c>
      <c r="AF89" s="700">
        <f>AA89</f>
        <v>0.5</v>
      </c>
      <c r="AG89" s="701">
        <f>-ROUND(AG88*AF89,2)</f>
        <v>0</v>
      </c>
      <c r="AH89" s="584"/>
      <c r="AJ89" s="580" t="s">
        <v>729</v>
      </c>
      <c r="AK89" s="700">
        <f>AF89</f>
        <v>0.5</v>
      </c>
      <c r="AL89" s="701">
        <f>-ROUND(AL88*AK89,2)</f>
        <v>0</v>
      </c>
      <c r="AM89" s="584"/>
      <c r="AO89" s="580" t="s">
        <v>729</v>
      </c>
      <c r="AP89" s="700">
        <f>AK89</f>
        <v>0.5</v>
      </c>
      <c r="AQ89" s="701">
        <f>-ROUND(AQ88*AP89,2)</f>
        <v>0</v>
      </c>
      <c r="AR89" s="584"/>
    </row>
    <row r="90" spans="1:68" ht="16" thickBot="1">
      <c r="A90" s="580" t="s">
        <v>5</v>
      </c>
      <c r="B90" s="585"/>
      <c r="C90" s="703">
        <f>SUM(C88:C89)</f>
        <v>1129236.5</v>
      </c>
      <c r="D90" s="579"/>
      <c r="F90" s="580" t="s">
        <v>5</v>
      </c>
      <c r="G90" s="585"/>
      <c r="H90" s="703">
        <f>SUM(H88:H89)</f>
        <v>1619643.12</v>
      </c>
      <c r="I90" s="579"/>
      <c r="K90" s="580" t="s">
        <v>5</v>
      </c>
      <c r="L90" s="585"/>
      <c r="M90" s="703">
        <f>SUM(M88:M89)</f>
        <v>2110049.75</v>
      </c>
      <c r="N90" s="579"/>
      <c r="P90" s="580" t="s">
        <v>5</v>
      </c>
      <c r="Q90" s="585"/>
      <c r="R90" s="703">
        <f>SUM(R88:R89)</f>
        <v>2600456.37</v>
      </c>
      <c r="S90" s="579"/>
      <c r="U90" s="580" t="s">
        <v>5</v>
      </c>
      <c r="V90" s="585"/>
      <c r="W90" s="703">
        <f>SUM(W88:W89)</f>
        <v>0</v>
      </c>
      <c r="X90" s="579"/>
      <c r="Z90" s="580" t="s">
        <v>5</v>
      </c>
      <c r="AA90" s="585"/>
      <c r="AB90" s="703">
        <f>SUM(AB88:AB89)</f>
        <v>0</v>
      </c>
      <c r="AC90" s="579"/>
      <c r="AE90" s="580" t="s">
        <v>5</v>
      </c>
      <c r="AF90" s="585"/>
      <c r="AG90" s="703">
        <f>SUM(AG88:AG89)</f>
        <v>0</v>
      </c>
      <c r="AH90" s="579"/>
      <c r="AJ90" s="580" t="s">
        <v>5</v>
      </c>
      <c r="AK90" s="585"/>
      <c r="AL90" s="703">
        <f>SUM(AL88:AL89)</f>
        <v>0</v>
      </c>
      <c r="AM90" s="579"/>
      <c r="AO90" s="580" t="s">
        <v>5</v>
      </c>
      <c r="AP90" s="585"/>
      <c r="AQ90" s="703">
        <f>SUM(AQ88:AQ89)</f>
        <v>0</v>
      </c>
      <c r="AR90" s="579"/>
    </row>
    <row r="91" spans="1:68" ht="17" thickTop="1" thickBot="1">
      <c r="A91" s="587"/>
      <c r="B91" s="588"/>
      <c r="C91" s="588"/>
      <c r="D91" s="589"/>
      <c r="F91" s="587"/>
      <c r="G91" s="588"/>
      <c r="H91" s="588"/>
      <c r="I91" s="589"/>
      <c r="K91" s="587"/>
      <c r="L91" s="588"/>
      <c r="M91" s="588"/>
      <c r="N91" s="589"/>
      <c r="P91" s="587"/>
      <c r="Q91" s="588"/>
      <c r="R91" s="588"/>
      <c r="S91" s="589"/>
      <c r="U91" s="587"/>
      <c r="V91" s="588"/>
      <c r="W91" s="588"/>
      <c r="X91" s="589"/>
      <c r="Z91" s="587"/>
      <c r="AA91" s="588"/>
      <c r="AB91" s="588"/>
      <c r="AC91" s="589"/>
      <c r="AE91" s="587"/>
      <c r="AF91" s="588"/>
      <c r="AG91" s="588"/>
      <c r="AH91" s="589"/>
      <c r="AJ91" s="587"/>
      <c r="AK91" s="588"/>
      <c r="AL91" s="588"/>
      <c r="AM91" s="589"/>
      <c r="AO91" s="587"/>
      <c r="AP91" s="588"/>
      <c r="AQ91" s="588"/>
      <c r="AR91" s="589"/>
    </row>
    <row r="92" spans="1:68">
      <c r="A92" s="543"/>
      <c r="B92" s="556"/>
      <c r="C92" s="556"/>
      <c r="D92" s="543"/>
      <c r="F92" s="543"/>
      <c r="G92" s="556"/>
      <c r="H92" s="556"/>
      <c r="I92" s="543"/>
      <c r="K92" s="543"/>
      <c r="L92" s="556"/>
      <c r="M92" s="556"/>
      <c r="N92" s="543"/>
      <c r="P92" s="543"/>
      <c r="Q92" s="556"/>
      <c r="R92" s="556"/>
      <c r="S92" s="543"/>
      <c r="U92" s="543"/>
      <c r="V92" s="556"/>
      <c r="W92" s="556"/>
      <c r="X92" s="543"/>
      <c r="Z92" s="543"/>
      <c r="AA92" s="556"/>
      <c r="AB92" s="556"/>
      <c r="AC92" s="543"/>
      <c r="AE92" s="543"/>
      <c r="AF92" s="556"/>
      <c r="AG92" s="556"/>
      <c r="AH92" s="543"/>
      <c r="AJ92" s="543"/>
      <c r="AK92" s="556"/>
      <c r="AL92" s="556"/>
      <c r="AM92" s="543"/>
      <c r="AO92" s="543"/>
      <c r="AP92" s="556"/>
      <c r="AQ92" s="556"/>
      <c r="AR92" s="543"/>
    </row>
    <row r="93" spans="1:68">
      <c r="J93" s="677"/>
      <c r="K93" s="677"/>
      <c r="L93" s="677"/>
      <c r="M93" s="677"/>
      <c r="P93" s="677"/>
    </row>
    <row r="94" spans="1:68" ht="16" thickBot="1">
      <c r="I94" s="677"/>
      <c r="J94" s="677"/>
      <c r="K94" s="677"/>
      <c r="L94" s="677"/>
      <c r="M94" s="677" t="s">
        <v>1040</v>
      </c>
      <c r="N94" s="677"/>
      <c r="P94" s="677"/>
    </row>
    <row r="95" spans="1:68" ht="13.5" customHeight="1">
      <c r="A95" s="704"/>
      <c r="B95" s="704"/>
      <c r="C95" s="705">
        <v>46023</v>
      </c>
      <c r="D95" s="705">
        <v>46054</v>
      </c>
      <c r="E95" s="705">
        <v>46082</v>
      </c>
      <c r="F95" s="705">
        <v>46113</v>
      </c>
      <c r="G95" s="705">
        <v>46143</v>
      </c>
      <c r="H95" s="705">
        <v>46174</v>
      </c>
      <c r="I95" s="705">
        <v>46204</v>
      </c>
      <c r="J95" s="705">
        <v>46235</v>
      </c>
      <c r="K95" s="705">
        <v>46266</v>
      </c>
      <c r="L95" s="705">
        <v>46296</v>
      </c>
      <c r="M95" s="705">
        <v>46327</v>
      </c>
      <c r="N95" s="705">
        <v>46357</v>
      </c>
      <c r="O95" s="704">
        <v>2026</v>
      </c>
      <c r="P95" s="705">
        <v>46388</v>
      </c>
      <c r="Q95" s="705">
        <v>46419</v>
      </c>
      <c r="R95" s="705">
        <v>46447</v>
      </c>
      <c r="S95" s="705">
        <v>46478</v>
      </c>
      <c r="T95" s="705">
        <v>46508</v>
      </c>
      <c r="U95" s="705">
        <v>46539</v>
      </c>
      <c r="V95" s="705">
        <v>46569</v>
      </c>
      <c r="W95" s="705">
        <v>46600</v>
      </c>
      <c r="X95" s="705">
        <v>46631</v>
      </c>
      <c r="Y95" s="705">
        <v>46661</v>
      </c>
      <c r="Z95" s="705">
        <v>46692</v>
      </c>
      <c r="AA95" s="705">
        <v>46722</v>
      </c>
      <c r="AB95" s="704">
        <v>2027</v>
      </c>
      <c r="AC95" s="705">
        <v>46753</v>
      </c>
      <c r="AD95" s="705">
        <v>46784</v>
      </c>
      <c r="AE95" s="705">
        <v>46813</v>
      </c>
      <c r="AF95" s="705">
        <v>46844</v>
      </c>
      <c r="AG95" s="705">
        <v>46874</v>
      </c>
      <c r="AH95" s="705">
        <v>46905</v>
      </c>
      <c r="AI95" s="705">
        <v>46935</v>
      </c>
      <c r="AJ95" s="705">
        <v>46966</v>
      </c>
      <c r="AK95" s="705">
        <v>46997</v>
      </c>
      <c r="AL95" s="705">
        <v>47027</v>
      </c>
      <c r="AM95" s="705">
        <v>47058</v>
      </c>
      <c r="AN95" s="705">
        <v>47088</v>
      </c>
      <c r="AO95" s="704">
        <v>2028</v>
      </c>
      <c r="AP95" s="705">
        <v>47119</v>
      </c>
      <c r="AQ95" s="705">
        <v>47150</v>
      </c>
      <c r="AR95" s="705">
        <v>47178</v>
      </c>
      <c r="AS95" s="705">
        <v>47209</v>
      </c>
      <c r="AT95" s="705">
        <v>47239</v>
      </c>
      <c r="AU95" s="705">
        <v>47270</v>
      </c>
      <c r="AV95" s="705">
        <v>47300</v>
      </c>
      <c r="AW95" s="705">
        <v>47331</v>
      </c>
      <c r="AX95" s="705">
        <v>47362</v>
      </c>
      <c r="AY95" s="705">
        <v>47392</v>
      </c>
      <c r="AZ95" s="705">
        <v>47423</v>
      </c>
      <c r="BA95" s="705">
        <v>47453</v>
      </c>
      <c r="BB95" s="706">
        <v>2029</v>
      </c>
      <c r="BC95" s="705">
        <v>47484</v>
      </c>
      <c r="BD95" s="705">
        <v>47515</v>
      </c>
      <c r="BE95" s="705">
        <v>47543</v>
      </c>
      <c r="BF95" s="705">
        <v>47574</v>
      </c>
      <c r="BG95" s="705">
        <v>47604</v>
      </c>
      <c r="BH95" s="705">
        <v>47635</v>
      </c>
      <c r="BI95" s="705">
        <v>47665</v>
      </c>
      <c r="BJ95" s="705">
        <v>47696</v>
      </c>
      <c r="BK95" s="705">
        <v>47727</v>
      </c>
      <c r="BL95" s="705">
        <v>47757</v>
      </c>
      <c r="BM95" s="705">
        <v>47788</v>
      </c>
      <c r="BN95" s="705">
        <v>47818</v>
      </c>
      <c r="BO95" s="706">
        <v>2030</v>
      </c>
      <c r="BP95" s="707"/>
    </row>
    <row r="96" spans="1:68" ht="13.5" customHeight="1">
      <c r="A96" s="708"/>
      <c r="B96" s="708"/>
      <c r="C96" s="709" t="s">
        <v>49</v>
      </c>
      <c r="D96" s="709" t="s">
        <v>50</v>
      </c>
      <c r="E96" s="709" t="s">
        <v>51</v>
      </c>
      <c r="F96" s="709" t="s">
        <v>52</v>
      </c>
      <c r="G96" s="709" t="s">
        <v>53</v>
      </c>
      <c r="H96" s="709" t="s">
        <v>54</v>
      </c>
      <c r="I96" s="709" t="s">
        <v>55</v>
      </c>
      <c r="J96" s="709" t="s">
        <v>56</v>
      </c>
      <c r="K96" s="709" t="s">
        <v>57</v>
      </c>
      <c r="L96" s="709" t="s">
        <v>58</v>
      </c>
      <c r="M96" s="709" t="s">
        <v>59</v>
      </c>
      <c r="N96" s="709" t="s">
        <v>60</v>
      </c>
      <c r="O96" s="710" t="s">
        <v>65</v>
      </c>
      <c r="P96" s="709" t="s">
        <v>291</v>
      </c>
      <c r="Q96" s="709" t="s">
        <v>308</v>
      </c>
      <c r="R96" s="709" t="s">
        <v>309</v>
      </c>
      <c r="S96" s="709" t="s">
        <v>310</v>
      </c>
      <c r="T96" s="709" t="s">
        <v>311</v>
      </c>
      <c r="U96" s="709" t="s">
        <v>312</v>
      </c>
      <c r="V96" s="709" t="s">
        <v>313</v>
      </c>
      <c r="W96" s="709" t="s">
        <v>314</v>
      </c>
      <c r="X96" s="709" t="s">
        <v>315</v>
      </c>
      <c r="Y96" s="709" t="s">
        <v>316</v>
      </c>
      <c r="Z96" s="709" t="s">
        <v>317</v>
      </c>
      <c r="AA96" s="709" t="s">
        <v>318</v>
      </c>
      <c r="AB96" s="711" t="s">
        <v>121</v>
      </c>
      <c r="AC96" s="709" t="s">
        <v>319</v>
      </c>
      <c r="AD96" s="709" t="s">
        <v>320</v>
      </c>
      <c r="AE96" s="709" t="s">
        <v>321</v>
      </c>
      <c r="AF96" s="709" t="s">
        <v>322</v>
      </c>
      <c r="AG96" s="709" t="s">
        <v>323</v>
      </c>
      <c r="AH96" s="709" t="s">
        <v>324</v>
      </c>
      <c r="AI96" s="709" t="s">
        <v>325</v>
      </c>
      <c r="AJ96" s="709" t="s">
        <v>326</v>
      </c>
      <c r="AK96" s="709" t="s">
        <v>327</v>
      </c>
      <c r="AL96" s="709" t="s">
        <v>328</v>
      </c>
      <c r="AM96" s="709" t="s">
        <v>329</v>
      </c>
      <c r="AN96" s="709" t="s">
        <v>330</v>
      </c>
      <c r="AO96" s="711" t="s">
        <v>122</v>
      </c>
      <c r="AP96" s="712" t="s">
        <v>331</v>
      </c>
      <c r="AQ96" s="712" t="s">
        <v>332</v>
      </c>
      <c r="AR96" s="712" t="s">
        <v>333</v>
      </c>
      <c r="AS96" s="712" t="s">
        <v>334</v>
      </c>
      <c r="AT96" s="712" t="s">
        <v>335</v>
      </c>
      <c r="AU96" s="712" t="s">
        <v>336</v>
      </c>
      <c r="AV96" s="712" t="s">
        <v>337</v>
      </c>
      <c r="AW96" s="712" t="s">
        <v>338</v>
      </c>
      <c r="AX96" s="712" t="s">
        <v>339</v>
      </c>
      <c r="AY96" s="712" t="s">
        <v>340</v>
      </c>
      <c r="AZ96" s="712" t="s">
        <v>341</v>
      </c>
      <c r="BA96" s="712" t="s">
        <v>342</v>
      </c>
      <c r="BB96" s="711" t="s">
        <v>123</v>
      </c>
      <c r="BC96" s="712" t="s">
        <v>343</v>
      </c>
      <c r="BD96" s="712" t="s">
        <v>344</v>
      </c>
      <c r="BE96" s="712" t="s">
        <v>345</v>
      </c>
      <c r="BF96" s="712" t="s">
        <v>346</v>
      </c>
      <c r="BG96" s="712" t="s">
        <v>347</v>
      </c>
      <c r="BH96" s="712" t="s">
        <v>348</v>
      </c>
      <c r="BI96" s="712" t="s">
        <v>349</v>
      </c>
      <c r="BJ96" s="712" t="s">
        <v>350</v>
      </c>
      <c r="BK96" s="712" t="s">
        <v>351</v>
      </c>
      <c r="BL96" s="712" t="s">
        <v>352</v>
      </c>
      <c r="BM96" s="712" t="s">
        <v>353</v>
      </c>
      <c r="BN96" s="712" t="s">
        <v>354</v>
      </c>
      <c r="BO96" s="711" t="s">
        <v>124</v>
      </c>
      <c r="BP96" s="713" t="s">
        <v>125</v>
      </c>
    </row>
    <row r="97" spans="1:68" ht="13.5" customHeight="1">
      <c r="A97" s="714" t="s">
        <v>20</v>
      </c>
      <c r="B97" s="714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6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6"/>
      <c r="AC97" s="715"/>
      <c r="AD97" s="715"/>
      <c r="AE97" s="715"/>
      <c r="AF97" s="715"/>
      <c r="AG97" s="715"/>
      <c r="AH97" s="715"/>
      <c r="AI97" s="715"/>
      <c r="AJ97" s="715"/>
      <c r="AK97" s="715"/>
      <c r="AL97" s="715"/>
      <c r="AM97" s="715"/>
      <c r="AN97" s="715"/>
      <c r="AO97" s="716"/>
      <c r="AP97" s="717"/>
      <c r="AQ97" s="717"/>
      <c r="AR97" s="717"/>
      <c r="AS97" s="717"/>
      <c r="AT97" s="717"/>
      <c r="AU97" s="717"/>
      <c r="AV97" s="717"/>
      <c r="AW97" s="717"/>
      <c r="AX97" s="717"/>
      <c r="AY97" s="717"/>
      <c r="AZ97" s="717"/>
      <c r="BA97" s="717"/>
      <c r="BB97" s="718"/>
      <c r="BC97" s="717"/>
      <c r="BD97" s="717"/>
      <c r="BE97" s="717"/>
      <c r="BF97" s="717"/>
      <c r="BG97" s="717"/>
      <c r="BH97" s="717"/>
      <c r="BI97" s="717"/>
      <c r="BJ97" s="717"/>
      <c r="BK97" s="717"/>
      <c r="BL97" s="717"/>
      <c r="BM97" s="717"/>
      <c r="BN97" s="717"/>
      <c r="BO97" s="718"/>
      <c r="BP97" s="719"/>
    </row>
    <row r="98" spans="1:68" ht="13.5" customHeight="1" thickBot="1">
      <c r="A98" s="720" t="s">
        <v>871</v>
      </c>
      <c r="B98" s="721"/>
      <c r="C98" s="722">
        <v>0</v>
      </c>
      <c r="D98" s="722">
        <v>0</v>
      </c>
      <c r="E98" s="723">
        <v>0</v>
      </c>
      <c r="F98" s="722">
        <v>0</v>
      </c>
      <c r="G98" s="722">
        <v>0</v>
      </c>
      <c r="H98" s="722">
        <v>0</v>
      </c>
      <c r="I98" s="722">
        <v>0</v>
      </c>
      <c r="J98" s="976">
        <v>0</v>
      </c>
      <c r="K98" s="722">
        <v>0</v>
      </c>
      <c r="L98" s="723">
        <v>0</v>
      </c>
      <c r="M98" s="722">
        <v>0</v>
      </c>
      <c r="N98" s="722"/>
      <c r="O98" s="724">
        <f t="shared" ref="O98:O102" si="0">SUM(C98:N98)</f>
        <v>0</v>
      </c>
      <c r="P98" s="722">
        <v>0</v>
      </c>
      <c r="Q98" s="722">
        <v>0</v>
      </c>
      <c r="R98" s="722">
        <v>0</v>
      </c>
      <c r="S98" s="723">
        <v>0</v>
      </c>
      <c r="T98" s="722">
        <v>0</v>
      </c>
      <c r="U98" s="722">
        <v>0</v>
      </c>
      <c r="V98" s="722">
        <f>C88</f>
        <v>2258473</v>
      </c>
      <c r="W98" s="722">
        <v>0</v>
      </c>
      <c r="X98" s="723">
        <v>0</v>
      </c>
      <c r="Y98" s="722">
        <v>0</v>
      </c>
      <c r="Z98" s="722">
        <v>0</v>
      </c>
      <c r="AA98" s="722">
        <v>0</v>
      </c>
      <c r="AB98" s="724">
        <f t="shared" ref="AB98:AB102" si="1">SUM(P98:AA98)</f>
        <v>2258473</v>
      </c>
      <c r="AC98" s="722">
        <v>0</v>
      </c>
      <c r="AD98" s="722">
        <v>0</v>
      </c>
      <c r="AE98" s="723">
        <v>0</v>
      </c>
      <c r="AF98" s="722">
        <v>0</v>
      </c>
      <c r="AG98" s="722">
        <v>0</v>
      </c>
      <c r="AH98" s="722">
        <v>0</v>
      </c>
      <c r="AI98" s="722">
        <f>H88</f>
        <v>3239286.25</v>
      </c>
      <c r="AJ98" s="722">
        <v>0</v>
      </c>
      <c r="AK98" s="722">
        <v>0</v>
      </c>
      <c r="AL98" s="722">
        <v>0</v>
      </c>
      <c r="AM98" s="722">
        <v>0</v>
      </c>
      <c r="AN98" s="722">
        <v>0</v>
      </c>
      <c r="AO98" s="724">
        <f>SUM(AC98:AN98)</f>
        <v>3239286.25</v>
      </c>
      <c r="AP98" s="722">
        <f>AQ88</f>
        <v>0</v>
      </c>
      <c r="AQ98" s="722">
        <v>0</v>
      </c>
      <c r="AR98" s="722">
        <v>0</v>
      </c>
      <c r="AS98" s="722">
        <f>W88</f>
        <v>0</v>
      </c>
      <c r="AT98" s="722">
        <v>0</v>
      </c>
      <c r="AU98" s="722">
        <v>0</v>
      </c>
      <c r="AV98" s="722">
        <f>M88</f>
        <v>4220099.5</v>
      </c>
      <c r="AW98" s="722">
        <v>0</v>
      </c>
      <c r="AX98" s="722">
        <v>0</v>
      </c>
      <c r="AY98" s="722">
        <f>AB88</f>
        <v>0</v>
      </c>
      <c r="AZ98" s="725">
        <v>0</v>
      </c>
      <c r="BA98" s="722">
        <v>0</v>
      </c>
      <c r="BB98" s="724">
        <f t="shared" ref="BB98:BB102" si="2">SUM(AP98:BA98)</f>
        <v>4220099.5</v>
      </c>
      <c r="BC98" s="722">
        <f>AQ88</f>
        <v>0</v>
      </c>
      <c r="BD98" s="722">
        <v>0</v>
      </c>
      <c r="BE98" s="722">
        <v>0</v>
      </c>
      <c r="BF98" s="722">
        <v>0</v>
      </c>
      <c r="BG98" s="722">
        <v>0</v>
      </c>
      <c r="BH98" s="722">
        <v>0</v>
      </c>
      <c r="BI98" s="722">
        <f>R88</f>
        <v>5200912.75</v>
      </c>
      <c r="BJ98" s="722">
        <v>0</v>
      </c>
      <c r="BK98" s="722">
        <v>0</v>
      </c>
      <c r="BL98" s="722">
        <f>AL88</f>
        <v>0</v>
      </c>
      <c r="BM98" s="725">
        <v>0</v>
      </c>
      <c r="BN98" s="722">
        <f>AQ88</f>
        <v>0</v>
      </c>
      <c r="BO98" s="724">
        <f t="shared" ref="BO98:BO102" si="3">SUM(BC98:BN98)</f>
        <v>5200912.75</v>
      </c>
      <c r="BP98" s="726">
        <f>O98+AB98+AO98+BB98+BO98</f>
        <v>14918771.5</v>
      </c>
    </row>
    <row r="99" spans="1:68" ht="13.5" customHeight="1" thickBot="1">
      <c r="A99" s="720" t="s">
        <v>72</v>
      </c>
      <c r="B99" s="721"/>
      <c r="C99" s="722"/>
      <c r="D99" s="722"/>
      <c r="E99" s="723">
        <v>0</v>
      </c>
      <c r="F99" s="722">
        <v>0</v>
      </c>
      <c r="G99" s="722">
        <v>0</v>
      </c>
      <c r="H99" s="722">
        <v>0</v>
      </c>
      <c r="I99" s="722">
        <v>0</v>
      </c>
      <c r="J99" s="722">
        <v>0</v>
      </c>
      <c r="K99" s="722">
        <v>0</v>
      </c>
      <c r="L99" s="722">
        <v>0</v>
      </c>
      <c r="M99" s="722">
        <v>0</v>
      </c>
      <c r="N99" s="722"/>
      <c r="O99" s="724">
        <f t="shared" si="0"/>
        <v>0</v>
      </c>
      <c r="P99" s="722">
        <v>0</v>
      </c>
      <c r="Q99" s="722"/>
      <c r="R99" s="722">
        <v>0</v>
      </c>
      <c r="S99" s="723">
        <v>0</v>
      </c>
      <c r="T99" s="722">
        <v>0</v>
      </c>
      <c r="U99" s="722">
        <v>0</v>
      </c>
      <c r="V99" s="722">
        <f>-C89</f>
        <v>1129236.5</v>
      </c>
      <c r="W99" s="722"/>
      <c r="X99" s="723">
        <v>0</v>
      </c>
      <c r="Y99" s="722">
        <v>0</v>
      </c>
      <c r="Z99" s="722">
        <v>0</v>
      </c>
      <c r="AA99" s="722">
        <v>0</v>
      </c>
      <c r="AB99" s="724">
        <f t="shared" si="1"/>
        <v>1129236.5</v>
      </c>
      <c r="AC99" s="722">
        <v>0</v>
      </c>
      <c r="AD99" s="722">
        <v>0</v>
      </c>
      <c r="AE99" s="723">
        <v>0</v>
      </c>
      <c r="AF99" s="722">
        <v>0</v>
      </c>
      <c r="AG99" s="722">
        <v>0</v>
      </c>
      <c r="AH99" s="722">
        <v>0</v>
      </c>
      <c r="AI99" s="722">
        <f>-H89</f>
        <v>1619643.13</v>
      </c>
      <c r="AJ99" s="722"/>
      <c r="AK99" s="722"/>
      <c r="AL99" s="722">
        <v>0</v>
      </c>
      <c r="AM99" s="722">
        <v>0</v>
      </c>
      <c r="AN99" s="722"/>
      <c r="AO99" s="724">
        <f>SUM(AC99:AN99)</f>
        <v>1619643.13</v>
      </c>
      <c r="AP99" s="722">
        <f>-AQ89</f>
        <v>0</v>
      </c>
      <c r="AQ99" s="722">
        <v>0</v>
      </c>
      <c r="AR99" s="722"/>
      <c r="AS99" s="722">
        <f>-W89</f>
        <v>0</v>
      </c>
      <c r="AT99" s="722"/>
      <c r="AU99" s="722"/>
      <c r="AV99" s="722">
        <f>-M89</f>
        <v>2110049.75</v>
      </c>
      <c r="AW99" s="722"/>
      <c r="AX99" s="722"/>
      <c r="AY99" s="722">
        <f>-AB89</f>
        <v>0</v>
      </c>
      <c r="AZ99" s="725"/>
      <c r="BA99" s="722"/>
      <c r="BB99" s="724">
        <f t="shared" si="2"/>
        <v>2110049.75</v>
      </c>
      <c r="BC99" s="722">
        <f>-AQ89</f>
        <v>0</v>
      </c>
      <c r="BD99" s="722"/>
      <c r="BE99" s="722"/>
      <c r="BF99" s="722"/>
      <c r="BG99" s="722"/>
      <c r="BH99" s="722"/>
      <c r="BI99" s="722">
        <f>-R89</f>
        <v>2600456.38</v>
      </c>
      <c r="BJ99" s="722"/>
      <c r="BK99" s="722"/>
      <c r="BL99" s="722">
        <f>-AL89</f>
        <v>0</v>
      </c>
      <c r="BM99" s="725"/>
      <c r="BN99" s="722">
        <f>-AQ89</f>
        <v>0</v>
      </c>
      <c r="BO99" s="724">
        <f t="shared" si="3"/>
        <v>2600456.38</v>
      </c>
      <c r="BP99" s="726">
        <f>O99+AB99+AO99+BB99+BO99</f>
        <v>7459385.7599999998</v>
      </c>
    </row>
    <row r="100" spans="1:68" ht="13.5" customHeight="1" thickBot="1">
      <c r="A100" s="720" t="s">
        <v>73</v>
      </c>
      <c r="B100" s="727">
        <f>'Ted Inputs'!G13</f>
        <v>0.01</v>
      </c>
      <c r="C100" s="722">
        <f>C98*$B$100</f>
        <v>0</v>
      </c>
      <c r="D100" s="722">
        <f t="shared" ref="D100:N100" si="4">D98*$B$100</f>
        <v>0</v>
      </c>
      <c r="E100" s="722">
        <f t="shared" si="4"/>
        <v>0</v>
      </c>
      <c r="F100" s="722">
        <f t="shared" si="4"/>
        <v>0</v>
      </c>
      <c r="G100" s="722">
        <f t="shared" si="4"/>
        <v>0</v>
      </c>
      <c r="H100" s="722">
        <f t="shared" si="4"/>
        <v>0</v>
      </c>
      <c r="I100" s="722">
        <f t="shared" si="4"/>
        <v>0</v>
      </c>
      <c r="J100" s="722">
        <f t="shared" si="4"/>
        <v>0</v>
      </c>
      <c r="K100" s="722">
        <f t="shared" si="4"/>
        <v>0</v>
      </c>
      <c r="L100" s="722">
        <f t="shared" si="4"/>
        <v>0</v>
      </c>
      <c r="M100" s="722">
        <f t="shared" si="4"/>
        <v>0</v>
      </c>
      <c r="N100" s="722">
        <f t="shared" si="4"/>
        <v>0</v>
      </c>
      <c r="O100" s="724">
        <f t="shared" si="0"/>
        <v>0</v>
      </c>
      <c r="P100" s="722">
        <f>P98*$B$100</f>
        <v>0</v>
      </c>
      <c r="Q100" s="722">
        <f t="shared" ref="Q100:AA100" si="5">Q98*$B$100</f>
        <v>0</v>
      </c>
      <c r="R100" s="722">
        <f t="shared" si="5"/>
        <v>0</v>
      </c>
      <c r="S100" s="722">
        <f t="shared" si="5"/>
        <v>0</v>
      </c>
      <c r="T100" s="722">
        <f t="shared" si="5"/>
        <v>0</v>
      </c>
      <c r="U100" s="722">
        <f t="shared" si="5"/>
        <v>0</v>
      </c>
      <c r="V100" s="722">
        <f t="shared" si="5"/>
        <v>22584.73</v>
      </c>
      <c r="W100" s="722">
        <f t="shared" si="5"/>
        <v>0</v>
      </c>
      <c r="X100" s="722">
        <f t="shared" si="5"/>
        <v>0</v>
      </c>
      <c r="Y100" s="722">
        <f t="shared" si="5"/>
        <v>0</v>
      </c>
      <c r="Z100" s="722">
        <f t="shared" si="5"/>
        <v>0</v>
      </c>
      <c r="AA100" s="722">
        <f t="shared" si="5"/>
        <v>0</v>
      </c>
      <c r="AB100" s="724">
        <f t="shared" si="1"/>
        <v>22584.73</v>
      </c>
      <c r="AC100" s="722">
        <f>AC98*$B$100</f>
        <v>0</v>
      </c>
      <c r="AD100" s="722">
        <f t="shared" ref="AD100:AN100" si="6">AD98*$B$100</f>
        <v>0</v>
      </c>
      <c r="AE100" s="722">
        <f t="shared" si="6"/>
        <v>0</v>
      </c>
      <c r="AF100" s="722">
        <f t="shared" si="6"/>
        <v>0</v>
      </c>
      <c r="AG100" s="722">
        <f t="shared" si="6"/>
        <v>0</v>
      </c>
      <c r="AH100" s="722">
        <f t="shared" si="6"/>
        <v>0</v>
      </c>
      <c r="AI100" s="722">
        <f t="shared" si="6"/>
        <v>32392.862499999999</v>
      </c>
      <c r="AJ100" s="722">
        <f t="shared" si="6"/>
        <v>0</v>
      </c>
      <c r="AK100" s="722">
        <f t="shared" si="6"/>
        <v>0</v>
      </c>
      <c r="AL100" s="722">
        <f t="shared" si="6"/>
        <v>0</v>
      </c>
      <c r="AM100" s="722">
        <f t="shared" si="6"/>
        <v>0</v>
      </c>
      <c r="AN100" s="722">
        <f t="shared" si="6"/>
        <v>0</v>
      </c>
      <c r="AO100" s="724">
        <f>SUM(AC100:AN100)</f>
        <v>32392.862499999999</v>
      </c>
      <c r="AP100" s="722">
        <f>AP98*$B$100</f>
        <v>0</v>
      </c>
      <c r="AQ100" s="722">
        <f t="shared" ref="AQ100:BA100" si="7">AQ98*$B$100</f>
        <v>0</v>
      </c>
      <c r="AR100" s="722">
        <f t="shared" si="7"/>
        <v>0</v>
      </c>
      <c r="AS100" s="722">
        <f t="shared" si="7"/>
        <v>0</v>
      </c>
      <c r="AT100" s="722">
        <f t="shared" si="7"/>
        <v>0</v>
      </c>
      <c r="AU100" s="722">
        <f t="shared" si="7"/>
        <v>0</v>
      </c>
      <c r="AV100" s="722">
        <f t="shared" si="7"/>
        <v>42200.995000000003</v>
      </c>
      <c r="AW100" s="722">
        <f t="shared" si="7"/>
        <v>0</v>
      </c>
      <c r="AX100" s="722">
        <f t="shared" si="7"/>
        <v>0</v>
      </c>
      <c r="AY100" s="722">
        <f t="shared" si="7"/>
        <v>0</v>
      </c>
      <c r="AZ100" s="722">
        <f t="shared" si="7"/>
        <v>0</v>
      </c>
      <c r="BA100" s="722">
        <f t="shared" si="7"/>
        <v>0</v>
      </c>
      <c r="BB100" s="724">
        <f t="shared" si="2"/>
        <v>42200.995000000003</v>
      </c>
      <c r="BC100" s="722">
        <f>BC98*$B$100</f>
        <v>0</v>
      </c>
      <c r="BD100" s="722">
        <f t="shared" ref="BD100:BN100" si="8">BD98*$B$100</f>
        <v>0</v>
      </c>
      <c r="BE100" s="722">
        <f t="shared" si="8"/>
        <v>0</v>
      </c>
      <c r="BF100" s="722">
        <f t="shared" si="8"/>
        <v>0</v>
      </c>
      <c r="BG100" s="722">
        <f t="shared" si="8"/>
        <v>0</v>
      </c>
      <c r="BH100" s="722">
        <f t="shared" si="8"/>
        <v>0</v>
      </c>
      <c r="BI100" s="722">
        <f t="shared" si="8"/>
        <v>52009.127500000002</v>
      </c>
      <c r="BJ100" s="722">
        <f t="shared" si="8"/>
        <v>0</v>
      </c>
      <c r="BK100" s="722">
        <f t="shared" si="8"/>
        <v>0</v>
      </c>
      <c r="BL100" s="722">
        <f t="shared" si="8"/>
        <v>0</v>
      </c>
      <c r="BM100" s="722">
        <f t="shared" si="8"/>
        <v>0</v>
      </c>
      <c r="BN100" s="722">
        <f t="shared" si="8"/>
        <v>0</v>
      </c>
      <c r="BO100" s="724">
        <f t="shared" si="3"/>
        <v>52009.127500000002</v>
      </c>
      <c r="BP100" s="726">
        <f>O100+AB100+AO100+BB100+BO100</f>
        <v>149187.715</v>
      </c>
    </row>
    <row r="101" spans="1:68" ht="13.5" customHeight="1" thickBot="1">
      <c r="A101" s="720" t="s">
        <v>77</v>
      </c>
      <c r="B101" s="727">
        <f>'Ted Inputs'!G6</f>
        <v>0.1</v>
      </c>
      <c r="C101" s="722">
        <v>0</v>
      </c>
      <c r="D101" s="722">
        <v>0</v>
      </c>
      <c r="E101" s="722">
        <v>0</v>
      </c>
      <c r="F101" s="722">
        <f>ROUND(SUM(C98:E98)*$B$101,0)</f>
        <v>0</v>
      </c>
      <c r="G101" s="722">
        <v>0</v>
      </c>
      <c r="H101" s="722">
        <v>0</v>
      </c>
      <c r="I101" s="722">
        <v>0</v>
      </c>
      <c r="J101" s="722">
        <f>ROUND(SUM(G98:I98)*$B$101,0)</f>
        <v>0</v>
      </c>
      <c r="K101" s="722">
        <v>0</v>
      </c>
      <c r="L101" s="722">
        <v>0</v>
      </c>
      <c r="M101" s="722">
        <v>25000</v>
      </c>
      <c r="N101" s="722">
        <f>ROUND(SUM(K98:M98)*$B$101,0)</f>
        <v>0</v>
      </c>
      <c r="O101" s="724">
        <f t="shared" si="0"/>
        <v>25000</v>
      </c>
      <c r="P101" s="722">
        <f>ROUND(SUM(M98:O98)*$B$101,0)</f>
        <v>0</v>
      </c>
      <c r="Q101" s="722">
        <f>ROUND(SUM(N98:P98)*$B$101,0)</f>
        <v>0</v>
      </c>
      <c r="R101" s="722">
        <f>ROUND(SUM(O98:Q98)*$B$101,0)</f>
        <v>0</v>
      </c>
      <c r="S101" s="722">
        <f>ROUND(SUM(P98:R98)*$B$101,0)</f>
        <v>0</v>
      </c>
      <c r="T101" s="722">
        <f>ROUND(SUM(Q98:S98)*$B$101,0)</f>
        <v>0</v>
      </c>
      <c r="U101" s="722">
        <v>25000</v>
      </c>
      <c r="V101" s="722">
        <f>ROUND(SUM(S98:U98)*$B$101,0)</f>
        <v>0</v>
      </c>
      <c r="W101" s="722">
        <v>0</v>
      </c>
      <c r="X101" s="722">
        <v>0</v>
      </c>
      <c r="Y101" s="722">
        <f>ROUND(SUM(V98:X98)*$B$101,0)-SUM(M101:N101)-SUM(P101:X101)</f>
        <v>175847</v>
      </c>
      <c r="Z101" s="722">
        <f>ROUND(SUM(W98:Y98)*$B$101,0)</f>
        <v>0</v>
      </c>
      <c r="AA101" s="722">
        <v>0</v>
      </c>
      <c r="AB101" s="724">
        <f t="shared" si="1"/>
        <v>200847</v>
      </c>
      <c r="AC101" s="722">
        <v>0</v>
      </c>
      <c r="AD101" s="722">
        <v>0</v>
      </c>
      <c r="AE101" s="722">
        <v>0</v>
      </c>
      <c r="AF101" s="722">
        <f>ROUND(SUM(AC98:AE98)*$B$101,0)</f>
        <v>0</v>
      </c>
      <c r="AG101" s="722">
        <f>ROUND(SUM(AD98:AF98)*$B$101,0)</f>
        <v>0</v>
      </c>
      <c r="AH101" s="722">
        <v>0</v>
      </c>
      <c r="AI101" s="722">
        <v>0</v>
      </c>
      <c r="AJ101" s="722">
        <f>ROUND(SUM(AG98:AI98)*$B$101,0)</f>
        <v>323929</v>
      </c>
      <c r="AK101" s="722">
        <v>0</v>
      </c>
      <c r="AL101" s="722">
        <v>0</v>
      </c>
      <c r="AM101" s="722">
        <f>ROUND(SUM(AJ98:AL98)*$B$101,0)</f>
        <v>0</v>
      </c>
      <c r="AN101" s="722">
        <v>0</v>
      </c>
      <c r="AO101" s="724">
        <f>SUM(AC101:AN101)</f>
        <v>323929</v>
      </c>
      <c r="AP101" s="722">
        <v>0</v>
      </c>
      <c r="AQ101" s="722">
        <v>0</v>
      </c>
      <c r="AR101" s="722">
        <v>0</v>
      </c>
      <c r="AS101" s="722">
        <f>ROUND(SUM(AP98:AR98)*$B$101,0)</f>
        <v>0</v>
      </c>
      <c r="AT101" s="722">
        <f>ROUND(SUM(AQ98:AS98)*$B$101,0)</f>
        <v>0</v>
      </c>
      <c r="AU101" s="722">
        <v>0</v>
      </c>
      <c r="AV101" s="722">
        <v>0</v>
      </c>
      <c r="AW101" s="722">
        <f>ROUND(SUM(AT98:AV98)*$B$101,0)</f>
        <v>422010</v>
      </c>
      <c r="AX101" s="722">
        <v>0</v>
      </c>
      <c r="AY101" s="722">
        <v>0</v>
      </c>
      <c r="AZ101" s="722">
        <f>ROUND(SUM(AW98:AY98)*$B$101,0)</f>
        <v>0</v>
      </c>
      <c r="BA101" s="722">
        <v>0</v>
      </c>
      <c r="BB101" s="724">
        <f t="shared" si="2"/>
        <v>422010</v>
      </c>
      <c r="BC101" s="722">
        <v>0</v>
      </c>
      <c r="BD101" s="722">
        <v>0</v>
      </c>
      <c r="BE101" s="722">
        <v>0</v>
      </c>
      <c r="BF101" s="722">
        <f>ROUND(SUM(BC98:BE98)*$B$101,0)</f>
        <v>0</v>
      </c>
      <c r="BG101" s="722">
        <v>0</v>
      </c>
      <c r="BH101" s="722">
        <v>0</v>
      </c>
      <c r="BI101" s="722">
        <v>0</v>
      </c>
      <c r="BJ101" s="722">
        <f>ROUND(SUM(BG98:BI98)*$B$101,0)</f>
        <v>520091</v>
      </c>
      <c r="BK101" s="722">
        <v>0</v>
      </c>
      <c r="BL101" s="722">
        <v>0</v>
      </c>
      <c r="BM101" s="722">
        <v>0</v>
      </c>
      <c r="BN101" s="722">
        <f>ROUND(SUM(BK98:BM98)*$B$101,0)</f>
        <v>0</v>
      </c>
      <c r="BO101" s="724">
        <f t="shared" si="3"/>
        <v>520091</v>
      </c>
      <c r="BP101" s="726">
        <f>O101+AB101+AO101+BB101+BO101</f>
        <v>1491877</v>
      </c>
    </row>
    <row r="102" spans="1:68" s="733" customFormat="1" ht="13.5" customHeight="1" thickBot="1">
      <c r="A102" s="728" t="s">
        <v>5</v>
      </c>
      <c r="B102" s="729"/>
      <c r="C102" s="730">
        <f>C98-C99-C100-C101</f>
        <v>0</v>
      </c>
      <c r="D102" s="730">
        <f t="shared" ref="D102:N102" si="9">D98-D99-D100-D101</f>
        <v>0</v>
      </c>
      <c r="E102" s="730">
        <f t="shared" si="9"/>
        <v>0</v>
      </c>
      <c r="F102" s="730">
        <f t="shared" si="9"/>
        <v>0</v>
      </c>
      <c r="G102" s="730">
        <f t="shared" si="9"/>
        <v>0</v>
      </c>
      <c r="H102" s="730">
        <f t="shared" si="9"/>
        <v>0</v>
      </c>
      <c r="I102" s="730">
        <f t="shared" si="9"/>
        <v>0</v>
      </c>
      <c r="J102" s="730">
        <f t="shared" si="9"/>
        <v>0</v>
      </c>
      <c r="K102" s="730">
        <f t="shared" si="9"/>
        <v>0</v>
      </c>
      <c r="L102" s="730">
        <f t="shared" si="9"/>
        <v>0</v>
      </c>
      <c r="M102" s="730">
        <f t="shared" si="9"/>
        <v>-25000</v>
      </c>
      <c r="N102" s="730">
        <f t="shared" si="9"/>
        <v>0</v>
      </c>
      <c r="O102" s="731">
        <f t="shared" si="0"/>
        <v>-25000</v>
      </c>
      <c r="P102" s="730">
        <f>P98-P99-P100-P101</f>
        <v>0</v>
      </c>
      <c r="Q102" s="730">
        <f t="shared" ref="Q102:AA102" si="10">Q98-Q99-Q100-Q101</f>
        <v>0</v>
      </c>
      <c r="R102" s="730">
        <f t="shared" si="10"/>
        <v>0</v>
      </c>
      <c r="S102" s="730">
        <f t="shared" si="10"/>
        <v>0</v>
      </c>
      <c r="T102" s="730">
        <f t="shared" si="10"/>
        <v>0</v>
      </c>
      <c r="U102" s="730">
        <f t="shared" si="10"/>
        <v>-25000</v>
      </c>
      <c r="V102" s="730">
        <f t="shared" si="10"/>
        <v>1106651.77</v>
      </c>
      <c r="W102" s="730">
        <f t="shared" si="10"/>
        <v>0</v>
      </c>
      <c r="X102" s="730">
        <f t="shared" si="10"/>
        <v>0</v>
      </c>
      <c r="Y102" s="730">
        <f t="shared" si="10"/>
        <v>-175847</v>
      </c>
      <c r="Z102" s="730">
        <f t="shared" si="10"/>
        <v>0</v>
      </c>
      <c r="AA102" s="730">
        <f t="shared" si="10"/>
        <v>0</v>
      </c>
      <c r="AB102" s="731">
        <f t="shared" si="1"/>
        <v>905804.77</v>
      </c>
      <c r="AC102" s="730">
        <f>AC98-AC99-AC100-AC101</f>
        <v>0</v>
      </c>
      <c r="AD102" s="730">
        <f t="shared" ref="AD102:AN102" si="11">AD98-AD99-AD100-AD101</f>
        <v>0</v>
      </c>
      <c r="AE102" s="730">
        <f t="shared" si="11"/>
        <v>0</v>
      </c>
      <c r="AF102" s="730">
        <f t="shared" si="11"/>
        <v>0</v>
      </c>
      <c r="AG102" s="730">
        <f t="shared" si="11"/>
        <v>0</v>
      </c>
      <c r="AH102" s="730">
        <f t="shared" si="11"/>
        <v>0</v>
      </c>
      <c r="AI102" s="730">
        <f t="shared" si="11"/>
        <v>1587250.2575000001</v>
      </c>
      <c r="AJ102" s="730">
        <f t="shared" si="11"/>
        <v>-323929</v>
      </c>
      <c r="AK102" s="730">
        <f t="shared" si="11"/>
        <v>0</v>
      </c>
      <c r="AL102" s="730">
        <f t="shared" si="11"/>
        <v>0</v>
      </c>
      <c r="AM102" s="730">
        <f t="shared" si="11"/>
        <v>0</v>
      </c>
      <c r="AN102" s="730">
        <f t="shared" si="11"/>
        <v>0</v>
      </c>
      <c r="AO102" s="731">
        <f>SUM(AC102:AN102)</f>
        <v>1263321.2575000001</v>
      </c>
      <c r="AP102" s="730">
        <f>AP98-AP99-AP100-AP101</f>
        <v>0</v>
      </c>
      <c r="AQ102" s="730">
        <f t="shared" ref="AQ102:BA102" si="12">AQ98-AQ99-AQ100-AQ101</f>
        <v>0</v>
      </c>
      <c r="AR102" s="730">
        <f t="shared" si="12"/>
        <v>0</v>
      </c>
      <c r="AS102" s="730">
        <f t="shared" si="12"/>
        <v>0</v>
      </c>
      <c r="AT102" s="730">
        <f t="shared" si="12"/>
        <v>0</v>
      </c>
      <c r="AU102" s="730">
        <f t="shared" si="12"/>
        <v>0</v>
      </c>
      <c r="AV102" s="730">
        <f t="shared" si="12"/>
        <v>2067848.7549999999</v>
      </c>
      <c r="AW102" s="730">
        <f t="shared" si="12"/>
        <v>-422010</v>
      </c>
      <c r="AX102" s="730">
        <f t="shared" si="12"/>
        <v>0</v>
      </c>
      <c r="AY102" s="730">
        <f t="shared" si="12"/>
        <v>0</v>
      </c>
      <c r="AZ102" s="730">
        <f t="shared" si="12"/>
        <v>0</v>
      </c>
      <c r="BA102" s="730">
        <f t="shared" si="12"/>
        <v>0</v>
      </c>
      <c r="BB102" s="731">
        <f t="shared" si="2"/>
        <v>1645838.7549999999</v>
      </c>
      <c r="BC102" s="730">
        <f>BC98-BC99-BC100-BC101</f>
        <v>0</v>
      </c>
      <c r="BD102" s="730">
        <f t="shared" ref="BD102:BN102" si="13">BD98-BD99-BD100-BD101</f>
        <v>0</v>
      </c>
      <c r="BE102" s="730">
        <f t="shared" si="13"/>
        <v>0</v>
      </c>
      <c r="BF102" s="730">
        <f t="shared" si="13"/>
        <v>0</v>
      </c>
      <c r="BG102" s="730">
        <f t="shared" si="13"/>
        <v>0</v>
      </c>
      <c r="BH102" s="730">
        <f t="shared" si="13"/>
        <v>0</v>
      </c>
      <c r="BI102" s="730">
        <f t="shared" si="13"/>
        <v>2548447.2425000002</v>
      </c>
      <c r="BJ102" s="730">
        <f t="shared" si="13"/>
        <v>-520091</v>
      </c>
      <c r="BK102" s="730">
        <f t="shared" si="13"/>
        <v>0</v>
      </c>
      <c r="BL102" s="730">
        <f t="shared" si="13"/>
        <v>0</v>
      </c>
      <c r="BM102" s="730">
        <f t="shared" si="13"/>
        <v>0</v>
      </c>
      <c r="BN102" s="730">
        <f t="shared" si="13"/>
        <v>0</v>
      </c>
      <c r="BO102" s="731">
        <f t="shared" si="3"/>
        <v>2028356.2425000002</v>
      </c>
      <c r="BP102" s="732">
        <f>O102+AB102+AO102+BB102+BO102</f>
        <v>5818321.0250000004</v>
      </c>
    </row>
    <row r="103" spans="1:68" s="556" customFormat="1">
      <c r="B103" s="543"/>
      <c r="C103" s="543"/>
      <c r="D103" s="543"/>
      <c r="E103" s="543"/>
      <c r="F103" s="543"/>
      <c r="G103" s="543"/>
      <c r="H103" s="543"/>
      <c r="J103" s="551"/>
      <c r="L103" s="543"/>
      <c r="O103" s="543"/>
      <c r="Q103" s="543"/>
      <c r="T103" s="543"/>
      <c r="V103" s="543"/>
      <c r="Y103" s="543"/>
      <c r="AB103" s="619"/>
    </row>
    <row r="104" spans="1:68">
      <c r="M104" s="980"/>
    </row>
    <row r="105" spans="1:68">
      <c r="L105" s="974"/>
      <c r="M105" s="980"/>
    </row>
    <row r="106" spans="1:68">
      <c r="M106" s="980"/>
    </row>
  </sheetData>
  <mergeCells count="150">
    <mergeCell ref="E5:E6"/>
    <mergeCell ref="G5:G6"/>
    <mergeCell ref="H5:H6"/>
    <mergeCell ref="AP5:AP6"/>
    <mergeCell ref="AQ5:AQ6"/>
    <mergeCell ref="AR5:AR6"/>
    <mergeCell ref="AA5:AA6"/>
    <mergeCell ref="AB5:AB6"/>
    <mergeCell ref="AC5:AC6"/>
    <mergeCell ref="AF5:AF6"/>
    <mergeCell ref="AG5:AG6"/>
    <mergeCell ref="AH5:AH6"/>
    <mergeCell ref="B21:B22"/>
    <mergeCell ref="C21:C22"/>
    <mergeCell ref="D21:D22"/>
    <mergeCell ref="E21:E22"/>
    <mergeCell ref="G21:G22"/>
    <mergeCell ref="H21:H22"/>
    <mergeCell ref="AK5:AK6"/>
    <mergeCell ref="AL5:AL6"/>
    <mergeCell ref="AM5:AM6"/>
    <mergeCell ref="Q5:Q6"/>
    <mergeCell ref="R5:R6"/>
    <mergeCell ref="S5:S6"/>
    <mergeCell ref="V5:V6"/>
    <mergeCell ref="W5:W6"/>
    <mergeCell ref="X5:X6"/>
    <mergeCell ref="I5:I6"/>
    <mergeCell ref="J5:J6"/>
    <mergeCell ref="L5:L6"/>
    <mergeCell ref="M5:M6"/>
    <mergeCell ref="N5:N6"/>
    <mergeCell ref="O5:O6"/>
    <mergeCell ref="B5:B6"/>
    <mergeCell ref="C5:C6"/>
    <mergeCell ref="D5:D6"/>
    <mergeCell ref="Q21:Q22"/>
    <mergeCell ref="R21:R22"/>
    <mergeCell ref="S21:S22"/>
    <mergeCell ref="V21:V22"/>
    <mergeCell ref="W21:W22"/>
    <mergeCell ref="X21:X22"/>
    <mergeCell ref="I21:I22"/>
    <mergeCell ref="J21:J22"/>
    <mergeCell ref="L21:L22"/>
    <mergeCell ref="M21:M22"/>
    <mergeCell ref="N21:N22"/>
    <mergeCell ref="O21:O22"/>
    <mergeCell ref="AK21:AK22"/>
    <mergeCell ref="AL21:AL22"/>
    <mergeCell ref="AM21:AM22"/>
    <mergeCell ref="AP21:AP22"/>
    <mergeCell ref="AQ21:AQ22"/>
    <mergeCell ref="AR21:AR22"/>
    <mergeCell ref="AA21:AA22"/>
    <mergeCell ref="AB21:AB22"/>
    <mergeCell ref="AC21:AC22"/>
    <mergeCell ref="AF21:AF22"/>
    <mergeCell ref="AG21:AG22"/>
    <mergeCell ref="AH21:AH22"/>
    <mergeCell ref="M37:M38"/>
    <mergeCell ref="N37:N38"/>
    <mergeCell ref="O37:O38"/>
    <mergeCell ref="B37:B38"/>
    <mergeCell ref="C37:C38"/>
    <mergeCell ref="D37:D38"/>
    <mergeCell ref="E37:E38"/>
    <mergeCell ref="G37:G38"/>
    <mergeCell ref="H37:H38"/>
    <mergeCell ref="E53:E54"/>
    <mergeCell ref="G53:G54"/>
    <mergeCell ref="H53:H54"/>
    <mergeCell ref="AK37:AK38"/>
    <mergeCell ref="AL37:AL38"/>
    <mergeCell ref="AM37:AM38"/>
    <mergeCell ref="AP37:AP38"/>
    <mergeCell ref="AQ37:AQ38"/>
    <mergeCell ref="AR37:AR38"/>
    <mergeCell ref="AA37:AA38"/>
    <mergeCell ref="AB37:AB38"/>
    <mergeCell ref="AC37:AC38"/>
    <mergeCell ref="AF37:AF38"/>
    <mergeCell ref="AG37:AG38"/>
    <mergeCell ref="AH37:AH38"/>
    <mergeCell ref="Q37:Q38"/>
    <mergeCell ref="R37:R38"/>
    <mergeCell ref="S37:S38"/>
    <mergeCell ref="V37:V38"/>
    <mergeCell ref="W37:W38"/>
    <mergeCell ref="X37:X38"/>
    <mergeCell ref="I37:I38"/>
    <mergeCell ref="J37:J38"/>
    <mergeCell ref="L37:L38"/>
    <mergeCell ref="AP53:AP54"/>
    <mergeCell ref="AQ53:AQ54"/>
    <mergeCell ref="AR53:AR54"/>
    <mergeCell ref="AA53:AA54"/>
    <mergeCell ref="AB53:AB54"/>
    <mergeCell ref="AC53:AC54"/>
    <mergeCell ref="AF53:AF54"/>
    <mergeCell ref="AG53:AG54"/>
    <mergeCell ref="AH53:AH54"/>
    <mergeCell ref="B69:B70"/>
    <mergeCell ref="C69:C70"/>
    <mergeCell ref="D69:D70"/>
    <mergeCell ref="E69:E70"/>
    <mergeCell ref="G69:G70"/>
    <mergeCell ref="H69:H70"/>
    <mergeCell ref="AK53:AK54"/>
    <mergeCell ref="AL53:AL54"/>
    <mergeCell ref="AM53:AM54"/>
    <mergeCell ref="Q53:Q54"/>
    <mergeCell ref="R53:R54"/>
    <mergeCell ref="S53:S54"/>
    <mergeCell ref="V53:V54"/>
    <mergeCell ref="W53:W54"/>
    <mergeCell ref="X53:X54"/>
    <mergeCell ref="I53:I54"/>
    <mergeCell ref="J53:J54"/>
    <mergeCell ref="L53:L54"/>
    <mergeCell ref="M53:M54"/>
    <mergeCell ref="N53:N54"/>
    <mergeCell ref="O53:O54"/>
    <mergeCell ref="B53:B54"/>
    <mergeCell ref="C53:C54"/>
    <mergeCell ref="D53:D54"/>
    <mergeCell ref="Q69:Q70"/>
    <mergeCell ref="R69:R70"/>
    <mergeCell ref="S69:S70"/>
    <mergeCell ref="V69:V70"/>
    <mergeCell ref="W69:W70"/>
    <mergeCell ref="X69:X70"/>
    <mergeCell ref="I69:I70"/>
    <mergeCell ref="J69:J70"/>
    <mergeCell ref="L69:L70"/>
    <mergeCell ref="M69:M70"/>
    <mergeCell ref="N69:N70"/>
    <mergeCell ref="O69:O70"/>
    <mergeCell ref="AK69:AK70"/>
    <mergeCell ref="AL69:AL70"/>
    <mergeCell ref="AM69:AM70"/>
    <mergeCell ref="AP69:AP70"/>
    <mergeCell ref="AQ69:AQ70"/>
    <mergeCell ref="AR69:AR70"/>
    <mergeCell ref="AA69:AA70"/>
    <mergeCell ref="AB69:AB70"/>
    <mergeCell ref="AC69:AC70"/>
    <mergeCell ref="AF69:AF70"/>
    <mergeCell ref="AG69:AG70"/>
    <mergeCell ref="AH69:AH7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0E4D-3D81-914E-A042-9132ED720F8A}">
  <dimension ref="A1:M131"/>
  <sheetViews>
    <sheetView workbookViewId="0">
      <selection activeCell="C85" sqref="C85"/>
    </sheetView>
  </sheetViews>
  <sheetFormatPr baseColWidth="10" defaultColWidth="8.6640625" defaultRowHeight="15"/>
  <cols>
    <col min="1" max="1" width="13.83203125" style="556" bestFit="1" customWidth="1"/>
    <col min="2" max="2" width="2.83203125" style="543" customWidth="1"/>
    <col min="3" max="3" width="13.83203125" style="556" bestFit="1" customWidth="1"/>
    <col min="4" max="4" width="2.6640625" style="556" customWidth="1"/>
    <col min="5" max="5" width="10.33203125" style="543" bestFit="1" customWidth="1"/>
    <col min="6" max="6" width="2.6640625" style="745" customWidth="1"/>
    <col min="7" max="7" width="9.6640625" style="746" customWidth="1"/>
    <col min="8" max="8" width="2.6640625" style="747" customWidth="1"/>
    <col min="9" max="9" width="9.5" style="747" bestFit="1" customWidth="1"/>
    <col min="10" max="10" width="2.6640625" style="746" customWidth="1"/>
    <col min="11" max="11" width="10.1640625" style="747" bestFit="1" customWidth="1"/>
    <col min="12" max="12" width="2.6640625" style="746" customWidth="1"/>
    <col min="13" max="13" width="10.1640625" style="747" bestFit="1" customWidth="1"/>
    <col min="14" max="14" width="9.6640625" style="556" customWidth="1"/>
    <col min="15" max="16384" width="8.6640625" style="556"/>
  </cols>
  <sheetData>
    <row r="1" spans="1:13">
      <c r="A1" s="1154" t="s">
        <v>873</v>
      </c>
      <c r="B1" s="1154"/>
      <c r="C1" s="1154"/>
      <c r="D1" s="1154"/>
      <c r="E1" s="1154"/>
      <c r="F1" s="1154"/>
      <c r="G1" s="1154"/>
      <c r="H1" s="1154"/>
      <c r="I1" s="1154"/>
      <c r="J1" s="1154"/>
      <c r="K1" s="1154"/>
      <c r="L1" s="1154"/>
      <c r="M1" s="1154"/>
    </row>
    <row r="2" spans="1:13">
      <c r="A2" s="741"/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</row>
    <row r="3" spans="1:13" ht="16" thickBot="1">
      <c r="A3" s="741"/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</row>
    <row r="4" spans="1:13" ht="16" thickBot="1">
      <c r="A4" s="742" t="s">
        <v>953</v>
      </c>
      <c r="B4" s="743"/>
      <c r="C4" s="743"/>
      <c r="D4" s="743"/>
      <c r="E4" s="743"/>
      <c r="F4" s="743"/>
      <c r="G4" s="744"/>
      <c r="H4" s="551"/>
      <c r="I4" s="745"/>
      <c r="M4" s="746"/>
    </row>
    <row r="5" spans="1:13">
      <c r="A5" s="748" t="s">
        <v>731</v>
      </c>
      <c r="B5" s="749"/>
      <c r="C5" s="749"/>
      <c r="D5" s="749"/>
      <c r="E5" s="749"/>
      <c r="F5" s="749"/>
      <c r="G5" s="750"/>
      <c r="H5" s="551"/>
      <c r="I5" s="745"/>
      <c r="M5" s="746"/>
    </row>
    <row r="6" spans="1:13">
      <c r="A6" s="751"/>
      <c r="B6" s="752" t="s">
        <v>872</v>
      </c>
      <c r="C6" s="737"/>
      <c r="D6" s="737"/>
      <c r="E6" s="737"/>
      <c r="F6" s="737"/>
      <c r="G6" s="738">
        <v>0.1</v>
      </c>
      <c r="H6" s="551"/>
      <c r="I6" s="745"/>
      <c r="M6" s="746"/>
    </row>
    <row r="7" spans="1:13">
      <c r="A7" s="751"/>
      <c r="B7" s="752" t="s">
        <v>735</v>
      </c>
      <c r="C7" s="737"/>
      <c r="D7" s="737"/>
      <c r="E7" s="737"/>
      <c r="F7" s="737"/>
      <c r="G7" s="738">
        <f>'Model Assumptions'!AF9</f>
        <v>0</v>
      </c>
      <c r="H7" s="551"/>
      <c r="I7" s="745"/>
      <c r="M7" s="746"/>
    </row>
    <row r="8" spans="1:13">
      <c r="A8" s="751"/>
      <c r="B8" s="752"/>
      <c r="C8" s="737"/>
      <c r="D8" s="737"/>
      <c r="E8" s="737"/>
      <c r="F8" s="737"/>
      <c r="G8" s="738"/>
      <c r="H8" s="551"/>
      <c r="I8" s="745"/>
      <c r="M8" s="746"/>
    </row>
    <row r="9" spans="1:13">
      <c r="A9" s="751" t="s">
        <v>732</v>
      </c>
      <c r="B9" s="753"/>
      <c r="C9" s="753"/>
      <c r="D9" s="753"/>
      <c r="E9" s="753"/>
      <c r="F9" s="753"/>
      <c r="G9" s="754"/>
      <c r="H9" s="551"/>
      <c r="I9" s="745"/>
      <c r="M9" s="746"/>
    </row>
    <row r="10" spans="1:13">
      <c r="A10" s="751"/>
      <c r="B10" s="752" t="s">
        <v>861</v>
      </c>
      <c r="C10" s="737"/>
      <c r="D10" s="737"/>
      <c r="E10" s="737"/>
      <c r="F10" s="737"/>
      <c r="G10" s="738">
        <v>0.6</v>
      </c>
      <c r="H10" s="551"/>
      <c r="I10" s="745"/>
      <c r="M10" s="746"/>
    </row>
    <row r="11" spans="1:13">
      <c r="A11" s="751"/>
      <c r="B11" s="752" t="s">
        <v>862</v>
      </c>
      <c r="C11" s="737"/>
      <c r="D11" s="737"/>
      <c r="E11" s="737"/>
      <c r="F11" s="737"/>
      <c r="G11" s="738">
        <v>0.5</v>
      </c>
      <c r="H11" s="551"/>
      <c r="I11" s="745"/>
      <c r="M11" s="746"/>
    </row>
    <row r="12" spans="1:13">
      <c r="A12" s="751"/>
      <c r="B12" s="752" t="s">
        <v>863</v>
      </c>
      <c r="C12" s="737"/>
      <c r="D12" s="737"/>
      <c r="E12" s="737"/>
      <c r="F12" s="737"/>
      <c r="G12" s="738">
        <v>0.05</v>
      </c>
      <c r="H12" s="551"/>
      <c r="I12" s="745"/>
      <c r="M12" s="746"/>
    </row>
    <row r="13" spans="1:13">
      <c r="A13" s="751"/>
      <c r="B13" s="752" t="s">
        <v>736</v>
      </c>
      <c r="C13" s="737"/>
      <c r="D13" s="737"/>
      <c r="E13" s="737"/>
      <c r="F13" s="737"/>
      <c r="G13" s="738">
        <v>0.01</v>
      </c>
      <c r="H13" s="551"/>
      <c r="I13" s="745"/>
      <c r="M13" s="746"/>
    </row>
    <row r="14" spans="1:13" ht="16" thickBot="1">
      <c r="A14" s="755"/>
      <c r="B14" s="756" t="s">
        <v>729</v>
      </c>
      <c r="C14" s="739"/>
      <c r="D14" s="739"/>
      <c r="E14" s="739"/>
      <c r="F14" s="739"/>
      <c r="G14" s="740">
        <v>0.5</v>
      </c>
      <c r="H14" s="551"/>
      <c r="I14" s="745"/>
      <c r="M14" s="746"/>
    </row>
    <row r="15" spans="1:13" ht="16" thickBot="1">
      <c r="D15" s="543"/>
      <c r="E15" s="551"/>
      <c r="I15" s="746"/>
    </row>
    <row r="16" spans="1:13" ht="16" thickBot="1">
      <c r="A16" s="1155" t="s">
        <v>991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7"/>
    </row>
    <row r="17" spans="1:13">
      <c r="A17" s="759"/>
      <c r="B17" s="760"/>
      <c r="C17" s="761"/>
      <c r="D17" s="760"/>
      <c r="E17" s="761"/>
      <c r="F17" s="762"/>
      <c r="G17" s="763"/>
      <c r="H17" s="764"/>
      <c r="I17" s="763"/>
      <c r="J17" s="764"/>
      <c r="K17" s="764"/>
      <c r="L17" s="763"/>
      <c r="M17" s="765"/>
    </row>
    <row r="18" spans="1:13">
      <c r="A18" s="759" t="s">
        <v>874</v>
      </c>
      <c r="B18" s="760"/>
      <c r="C18" s="766" t="s">
        <v>1030</v>
      </c>
      <c r="D18" s="760"/>
      <c r="E18" s="767"/>
      <c r="F18" s="762"/>
      <c r="G18" s="763"/>
      <c r="H18" s="764"/>
      <c r="I18" s="763"/>
      <c r="J18" s="768"/>
      <c r="K18" s="764"/>
      <c r="L18" s="763"/>
      <c r="M18" s="765"/>
    </row>
    <row r="19" spans="1:13">
      <c r="A19" s="759" t="s">
        <v>876</v>
      </c>
      <c r="B19" s="760"/>
      <c r="C19" s="766">
        <v>46478</v>
      </c>
      <c r="D19" s="760"/>
      <c r="E19" s="767"/>
      <c r="F19" s="762"/>
      <c r="G19" s="763"/>
      <c r="H19" s="764"/>
      <c r="I19" s="763"/>
      <c r="J19" s="768"/>
      <c r="K19" s="764"/>
      <c r="L19" s="763"/>
      <c r="M19" s="765"/>
    </row>
    <row r="20" spans="1:13" ht="16" thickBot="1">
      <c r="A20" s="759"/>
      <c r="B20" s="760"/>
      <c r="C20" s="761"/>
      <c r="D20" s="760"/>
      <c r="E20" s="761"/>
      <c r="F20" s="762"/>
      <c r="G20" s="763"/>
      <c r="H20" s="764"/>
      <c r="I20" s="763"/>
      <c r="J20" s="764"/>
      <c r="K20" s="764"/>
      <c r="L20" s="763"/>
      <c r="M20" s="765"/>
    </row>
    <row r="21" spans="1:13" ht="16" thickBot="1">
      <c r="A21" s="1155" t="s">
        <v>877</v>
      </c>
      <c r="B21" s="1156"/>
      <c r="C21" s="1156"/>
      <c r="D21" s="1156"/>
      <c r="E21" s="1156"/>
      <c r="F21" s="1156"/>
      <c r="G21" s="1156"/>
      <c r="H21" s="1156"/>
      <c r="I21" s="1156"/>
      <c r="J21" s="1156"/>
      <c r="K21" s="1156"/>
      <c r="L21" s="1156"/>
      <c r="M21" s="1157"/>
    </row>
    <row r="22" spans="1:13">
      <c r="A22" s="769" t="s">
        <v>878</v>
      </c>
      <c r="B22" s="770"/>
      <c r="C22" s="770" t="s">
        <v>879</v>
      </c>
      <c r="D22" s="770"/>
      <c r="E22" s="770" t="s">
        <v>880</v>
      </c>
      <c r="F22" s="771"/>
      <c r="G22" s="772" t="s">
        <v>881</v>
      </c>
      <c r="H22" s="773"/>
      <c r="I22" s="772" t="s">
        <v>515</v>
      </c>
      <c r="J22" s="773"/>
      <c r="K22" s="773" t="s">
        <v>516</v>
      </c>
      <c r="L22" s="772"/>
      <c r="M22" s="774" t="s">
        <v>517</v>
      </c>
    </row>
    <row r="23" spans="1:13" ht="16">
      <c r="A23" s="759" t="s">
        <v>169</v>
      </c>
      <c r="B23" s="775"/>
      <c r="C23" s="776" t="s">
        <v>884</v>
      </c>
      <c r="D23" s="777"/>
      <c r="E23" s="778">
        <v>0</v>
      </c>
      <c r="F23" s="779"/>
      <c r="G23" s="780">
        <v>0</v>
      </c>
      <c r="H23" s="781"/>
      <c r="I23" s="780">
        <v>0</v>
      </c>
      <c r="J23" s="780"/>
      <c r="K23" s="780">
        <v>0</v>
      </c>
      <c r="L23" s="780"/>
      <c r="M23" s="782">
        <v>0</v>
      </c>
    </row>
    <row r="24" spans="1:13">
      <c r="A24" s="759" t="s">
        <v>883</v>
      </c>
      <c r="B24" s="775"/>
      <c r="C24" s="777" t="s">
        <v>882</v>
      </c>
      <c r="D24" s="777"/>
      <c r="E24" s="778">
        <v>49.99</v>
      </c>
      <c r="F24" s="779"/>
      <c r="G24" s="780">
        <v>1000</v>
      </c>
      <c r="H24" s="780"/>
      <c r="I24" s="780">
        <v>20</v>
      </c>
      <c r="J24" s="780"/>
      <c r="K24" s="780">
        <v>8</v>
      </c>
      <c r="L24" s="780"/>
      <c r="M24" s="783">
        <v>7</v>
      </c>
    </row>
    <row r="25" spans="1:13">
      <c r="A25" s="759" t="s">
        <v>885</v>
      </c>
      <c r="B25" s="775"/>
      <c r="C25" s="777" t="s">
        <v>882</v>
      </c>
      <c r="D25" s="777"/>
      <c r="E25" s="778">
        <v>29.99</v>
      </c>
      <c r="F25" s="779"/>
      <c r="G25" s="780">
        <v>500</v>
      </c>
      <c r="H25" s="780"/>
      <c r="I25" s="780">
        <v>40</v>
      </c>
      <c r="J25" s="780"/>
      <c r="K25" s="780">
        <v>8</v>
      </c>
      <c r="L25" s="780"/>
      <c r="M25" s="783">
        <v>4</v>
      </c>
    </row>
    <row r="26" spans="1:13">
      <c r="A26" s="759" t="s">
        <v>886</v>
      </c>
      <c r="B26" s="775"/>
      <c r="C26" s="777" t="s">
        <v>882</v>
      </c>
      <c r="D26" s="777"/>
      <c r="E26" s="778">
        <v>14.99</v>
      </c>
      <c r="F26" s="779"/>
      <c r="G26" s="780">
        <v>500</v>
      </c>
      <c r="H26" s="780"/>
      <c r="I26" s="780">
        <v>24</v>
      </c>
      <c r="J26" s="780"/>
      <c r="K26" s="780">
        <v>1</v>
      </c>
      <c r="L26" s="780"/>
      <c r="M26" s="783">
        <v>30</v>
      </c>
    </row>
    <row r="27" spans="1:13" ht="16" thickBot="1">
      <c r="A27" s="784" t="s">
        <v>992</v>
      </c>
      <c r="B27" s="785"/>
      <c r="C27" s="786" t="s">
        <v>884</v>
      </c>
      <c r="D27" s="786"/>
      <c r="E27" s="787">
        <v>0</v>
      </c>
      <c r="F27" s="788"/>
      <c r="G27" s="789">
        <v>0</v>
      </c>
      <c r="H27" s="789"/>
      <c r="I27" s="789">
        <v>0</v>
      </c>
      <c r="J27" s="789"/>
      <c r="K27" s="789">
        <v>0</v>
      </c>
      <c r="L27" s="789"/>
      <c r="M27" s="790">
        <v>0</v>
      </c>
    </row>
    <row r="28" spans="1:13" ht="16" thickBot="1">
      <c r="B28" s="757"/>
      <c r="D28" s="791"/>
      <c r="G28" s="792"/>
      <c r="I28" s="793"/>
      <c r="L28" s="792"/>
    </row>
    <row r="29" spans="1:13" ht="16" thickBot="1">
      <c r="A29" s="1158" t="s">
        <v>993</v>
      </c>
      <c r="B29" s="1159"/>
      <c r="C29" s="1159"/>
      <c r="D29" s="1159"/>
      <c r="E29" s="1159"/>
      <c r="F29" s="1159"/>
      <c r="G29" s="1159"/>
      <c r="H29" s="1159"/>
      <c r="I29" s="1159"/>
      <c r="J29" s="1159"/>
      <c r="K29" s="1159"/>
      <c r="L29" s="1159"/>
      <c r="M29" s="1160"/>
    </row>
    <row r="30" spans="1:13">
      <c r="A30" s="795"/>
      <c r="B30" s="796"/>
      <c r="C30" s="797"/>
      <c r="D30" s="796"/>
      <c r="E30" s="797"/>
      <c r="F30" s="798"/>
      <c r="G30" s="799"/>
      <c r="H30" s="800"/>
      <c r="I30" s="799"/>
      <c r="J30" s="800"/>
      <c r="K30" s="800"/>
      <c r="L30" s="799"/>
      <c r="M30" s="801"/>
    </row>
    <row r="31" spans="1:13">
      <c r="A31" s="795" t="s">
        <v>874</v>
      </c>
      <c r="B31" s="796"/>
      <c r="C31" s="797" t="s">
        <v>1031</v>
      </c>
      <c r="D31" s="796"/>
      <c r="E31" s="797"/>
      <c r="F31" s="798"/>
      <c r="G31" s="799"/>
      <c r="H31" s="800"/>
      <c r="I31" s="799"/>
      <c r="J31" s="800"/>
      <c r="K31" s="800"/>
      <c r="L31" s="799"/>
      <c r="M31" s="801"/>
    </row>
    <row r="32" spans="1:13">
      <c r="A32" s="795" t="s">
        <v>876</v>
      </c>
      <c r="B32" s="796"/>
      <c r="C32" s="802">
        <v>46661</v>
      </c>
      <c r="D32" s="796"/>
      <c r="E32" s="803"/>
      <c r="F32" s="798"/>
      <c r="G32" s="799"/>
      <c r="H32" s="800"/>
      <c r="I32" s="799"/>
      <c r="J32" s="804"/>
      <c r="K32" s="800"/>
      <c r="L32" s="799"/>
      <c r="M32" s="801"/>
    </row>
    <row r="33" spans="1:13" ht="16" thickBot="1">
      <c r="A33" s="795"/>
      <c r="B33" s="796"/>
      <c r="C33" s="797"/>
      <c r="D33" s="796"/>
      <c r="E33" s="797"/>
      <c r="F33" s="798"/>
      <c r="G33" s="799"/>
      <c r="H33" s="800"/>
      <c r="I33" s="799"/>
      <c r="J33" s="800"/>
      <c r="K33" s="800"/>
      <c r="L33" s="799"/>
      <c r="M33" s="801"/>
    </row>
    <row r="34" spans="1:13" ht="16" thickBot="1">
      <c r="A34" s="1158" t="s">
        <v>877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60"/>
    </row>
    <row r="35" spans="1:13">
      <c r="A35" s="805" t="s">
        <v>878</v>
      </c>
      <c r="B35" s="806"/>
      <c r="C35" s="806" t="s">
        <v>879</v>
      </c>
      <c r="D35" s="806"/>
      <c r="E35" s="806" t="s">
        <v>880</v>
      </c>
      <c r="F35" s="807"/>
      <c r="G35" s="808" t="s">
        <v>881</v>
      </c>
      <c r="H35" s="809"/>
      <c r="I35" s="808" t="s">
        <v>515</v>
      </c>
      <c r="J35" s="809"/>
      <c r="K35" s="809" t="s">
        <v>516</v>
      </c>
      <c r="L35" s="808"/>
      <c r="M35" s="810" t="s">
        <v>517</v>
      </c>
    </row>
    <row r="36" spans="1:13" ht="16">
      <c r="A36" s="795" t="s">
        <v>169</v>
      </c>
      <c r="B36" s="811"/>
      <c r="C36" s="812" t="s">
        <v>882</v>
      </c>
      <c r="D36" s="813"/>
      <c r="E36" s="814">
        <v>199.99</v>
      </c>
      <c r="F36" s="815"/>
      <c r="G36" s="816">
        <v>500</v>
      </c>
      <c r="H36" s="817"/>
      <c r="I36" s="816">
        <v>12</v>
      </c>
      <c r="J36" s="816"/>
      <c r="K36" s="816">
        <v>12</v>
      </c>
      <c r="L36" s="816"/>
      <c r="M36" s="818">
        <v>5</v>
      </c>
    </row>
    <row r="37" spans="1:13">
      <c r="A37" s="795" t="s">
        <v>883</v>
      </c>
      <c r="B37" s="811"/>
      <c r="C37" s="813" t="s">
        <v>882</v>
      </c>
      <c r="D37" s="813"/>
      <c r="E37" s="814">
        <v>49.99</v>
      </c>
      <c r="F37" s="815"/>
      <c r="G37" s="816">
        <v>1500</v>
      </c>
      <c r="H37" s="816"/>
      <c r="I37" s="816">
        <v>20</v>
      </c>
      <c r="J37" s="816"/>
      <c r="K37" s="816">
        <v>8</v>
      </c>
      <c r="L37" s="816"/>
      <c r="M37" s="819">
        <v>7</v>
      </c>
    </row>
    <row r="38" spans="1:13" s="820" customFormat="1">
      <c r="A38" s="795" t="s">
        <v>885</v>
      </c>
      <c r="B38" s="811"/>
      <c r="C38" s="813" t="s">
        <v>882</v>
      </c>
      <c r="D38" s="813"/>
      <c r="E38" s="814">
        <v>29.99</v>
      </c>
      <c r="F38" s="815"/>
      <c r="G38" s="816">
        <v>750</v>
      </c>
      <c r="H38" s="816"/>
      <c r="I38" s="816">
        <v>40</v>
      </c>
      <c r="J38" s="816"/>
      <c r="K38" s="816">
        <v>8</v>
      </c>
      <c r="L38" s="816"/>
      <c r="M38" s="819">
        <v>4</v>
      </c>
    </row>
    <row r="39" spans="1:13">
      <c r="A39" s="795" t="s">
        <v>886</v>
      </c>
      <c r="B39" s="811"/>
      <c r="C39" s="813" t="s">
        <v>882</v>
      </c>
      <c r="D39" s="813"/>
      <c r="E39" s="814">
        <v>14.99</v>
      </c>
      <c r="F39" s="815"/>
      <c r="G39" s="816">
        <v>750</v>
      </c>
      <c r="H39" s="816"/>
      <c r="I39" s="816">
        <v>24</v>
      </c>
      <c r="J39" s="816"/>
      <c r="K39" s="816">
        <v>1</v>
      </c>
      <c r="L39" s="816"/>
      <c r="M39" s="819">
        <v>30</v>
      </c>
    </row>
    <row r="40" spans="1:13" ht="16" thickBot="1">
      <c r="A40" s="822" t="s">
        <v>992</v>
      </c>
      <c r="B40" s="823"/>
      <c r="C40" s="824" t="s">
        <v>884</v>
      </c>
      <c r="D40" s="824"/>
      <c r="E40" s="825">
        <v>0</v>
      </c>
      <c r="F40" s="826"/>
      <c r="G40" s="827">
        <v>0</v>
      </c>
      <c r="H40" s="827"/>
      <c r="I40" s="827">
        <v>0</v>
      </c>
      <c r="J40" s="827"/>
      <c r="K40" s="827">
        <v>0</v>
      </c>
      <c r="L40" s="827"/>
      <c r="M40" s="828">
        <v>0</v>
      </c>
    </row>
    <row r="41" spans="1:13" ht="16" thickBot="1">
      <c r="B41" s="757"/>
      <c r="C41" s="551"/>
      <c r="D41" s="551"/>
      <c r="E41" s="551"/>
      <c r="G41" s="792"/>
      <c r="H41" s="746"/>
      <c r="I41" s="746"/>
      <c r="L41" s="792"/>
      <c r="M41" s="746"/>
    </row>
    <row r="42" spans="1:13" ht="16" thickBot="1">
      <c r="A42" s="1161" t="s">
        <v>994</v>
      </c>
      <c r="B42" s="1162"/>
      <c r="C42" s="1162"/>
      <c r="D42" s="1162"/>
      <c r="E42" s="1162"/>
      <c r="F42" s="1162"/>
      <c r="G42" s="1162"/>
      <c r="H42" s="1162"/>
      <c r="I42" s="1162"/>
      <c r="J42" s="1162"/>
      <c r="K42" s="1162"/>
      <c r="L42" s="1162"/>
      <c r="M42" s="1163"/>
    </row>
    <row r="43" spans="1:13">
      <c r="A43" s="829"/>
      <c r="B43" s="830"/>
      <c r="C43" s="831"/>
      <c r="D43" s="830"/>
      <c r="E43" s="831"/>
      <c r="F43" s="832"/>
      <c r="G43" s="833"/>
      <c r="H43" s="834"/>
      <c r="I43" s="833"/>
      <c r="J43" s="834"/>
      <c r="K43" s="834"/>
      <c r="L43" s="833"/>
      <c r="M43" s="835"/>
    </row>
    <row r="44" spans="1:13">
      <c r="A44" s="829" t="s">
        <v>874</v>
      </c>
      <c r="B44" s="830"/>
      <c r="C44" s="831" t="s">
        <v>1032</v>
      </c>
      <c r="D44" s="830"/>
      <c r="E44" s="831"/>
      <c r="F44" s="832"/>
      <c r="G44" s="833"/>
      <c r="H44" s="834"/>
      <c r="I44" s="833"/>
      <c r="J44" s="834"/>
      <c r="K44" s="834"/>
      <c r="L44" s="833"/>
      <c r="M44" s="835"/>
    </row>
    <row r="45" spans="1:13">
      <c r="A45" s="829" t="s">
        <v>876</v>
      </c>
      <c r="B45" s="830"/>
      <c r="C45" s="836">
        <v>46844</v>
      </c>
      <c r="D45" s="830"/>
      <c r="E45" s="837"/>
      <c r="F45" s="832"/>
      <c r="G45" s="833"/>
      <c r="H45" s="834"/>
      <c r="I45" s="833"/>
      <c r="J45" s="838"/>
      <c r="K45" s="834"/>
      <c r="L45" s="833"/>
      <c r="M45" s="835"/>
    </row>
    <row r="46" spans="1:13" ht="16" thickBot="1">
      <c r="A46" s="829"/>
      <c r="B46" s="830"/>
      <c r="C46" s="831"/>
      <c r="D46" s="830"/>
      <c r="E46" s="831"/>
      <c r="F46" s="832"/>
      <c r="G46" s="833"/>
      <c r="H46" s="834"/>
      <c r="I46" s="833"/>
      <c r="J46" s="834"/>
      <c r="K46" s="834"/>
      <c r="L46" s="833"/>
      <c r="M46" s="835"/>
    </row>
    <row r="47" spans="1:13" ht="16" thickBot="1">
      <c r="A47" s="1161" t="s">
        <v>877</v>
      </c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3"/>
    </row>
    <row r="48" spans="1:13">
      <c r="A48" s="839" t="s">
        <v>878</v>
      </c>
      <c r="B48" s="840"/>
      <c r="C48" s="840" t="s">
        <v>879</v>
      </c>
      <c r="D48" s="840"/>
      <c r="E48" s="840" t="s">
        <v>880</v>
      </c>
      <c r="F48" s="841"/>
      <c r="G48" s="842" t="s">
        <v>881</v>
      </c>
      <c r="H48" s="843"/>
      <c r="I48" s="842" t="s">
        <v>515</v>
      </c>
      <c r="J48" s="843"/>
      <c r="K48" s="843" t="s">
        <v>516</v>
      </c>
      <c r="L48" s="842"/>
      <c r="M48" s="844" t="s">
        <v>517</v>
      </c>
    </row>
    <row r="49" spans="1:13" ht="16">
      <c r="A49" s="829" t="s">
        <v>169</v>
      </c>
      <c r="B49" s="845"/>
      <c r="C49" s="846" t="s">
        <v>884</v>
      </c>
      <c r="D49" s="847"/>
      <c r="E49" s="848">
        <v>0</v>
      </c>
      <c r="F49" s="849"/>
      <c r="G49" s="850">
        <v>0</v>
      </c>
      <c r="H49" s="851"/>
      <c r="I49" s="850">
        <v>0</v>
      </c>
      <c r="J49" s="850"/>
      <c r="K49" s="850">
        <v>0</v>
      </c>
      <c r="L49" s="850"/>
      <c r="M49" s="852">
        <v>0</v>
      </c>
    </row>
    <row r="50" spans="1:13">
      <c r="A50" s="829" t="s">
        <v>883</v>
      </c>
      <c r="B50" s="845"/>
      <c r="C50" s="847" t="s">
        <v>882</v>
      </c>
      <c r="D50" s="847"/>
      <c r="E50" s="848">
        <v>54.99</v>
      </c>
      <c r="F50" s="849"/>
      <c r="G50" s="850">
        <v>1050</v>
      </c>
      <c r="H50" s="850"/>
      <c r="I50" s="850">
        <v>20</v>
      </c>
      <c r="J50" s="850"/>
      <c r="K50" s="850">
        <v>8</v>
      </c>
      <c r="L50" s="850"/>
      <c r="M50" s="853">
        <v>7</v>
      </c>
    </row>
    <row r="51" spans="1:13">
      <c r="A51" s="829" t="s">
        <v>885</v>
      </c>
      <c r="B51" s="845"/>
      <c r="C51" s="847" t="s">
        <v>882</v>
      </c>
      <c r="D51" s="847"/>
      <c r="E51" s="848">
        <v>34.99</v>
      </c>
      <c r="F51" s="849"/>
      <c r="G51" s="850">
        <v>525</v>
      </c>
      <c r="H51" s="850"/>
      <c r="I51" s="850">
        <v>40</v>
      </c>
      <c r="J51" s="850"/>
      <c r="K51" s="850">
        <v>8</v>
      </c>
      <c r="L51" s="850"/>
      <c r="M51" s="853">
        <v>4</v>
      </c>
    </row>
    <row r="52" spans="1:13" s="619" customFormat="1">
      <c r="A52" s="829" t="s">
        <v>886</v>
      </c>
      <c r="B52" s="845"/>
      <c r="C52" s="847" t="s">
        <v>882</v>
      </c>
      <c r="D52" s="847"/>
      <c r="E52" s="848">
        <v>16.989999999999998</v>
      </c>
      <c r="F52" s="849"/>
      <c r="G52" s="850">
        <v>525</v>
      </c>
      <c r="H52" s="850"/>
      <c r="I52" s="850">
        <v>24</v>
      </c>
      <c r="J52" s="850"/>
      <c r="K52" s="850">
        <v>1</v>
      </c>
      <c r="L52" s="850"/>
      <c r="M52" s="853">
        <v>30</v>
      </c>
    </row>
    <row r="53" spans="1:13" s="619" customFormat="1" ht="16" thickBot="1">
      <c r="A53" s="854" t="s">
        <v>992</v>
      </c>
      <c r="B53" s="855"/>
      <c r="C53" s="856" t="s">
        <v>884</v>
      </c>
      <c r="D53" s="856"/>
      <c r="E53" s="857">
        <v>0</v>
      </c>
      <c r="F53" s="858"/>
      <c r="G53" s="859">
        <v>0</v>
      </c>
      <c r="H53" s="859"/>
      <c r="I53" s="859">
        <v>0</v>
      </c>
      <c r="J53" s="859"/>
      <c r="K53" s="859">
        <v>0</v>
      </c>
      <c r="L53" s="859"/>
      <c r="M53" s="860">
        <v>0</v>
      </c>
    </row>
    <row r="54" spans="1:13" s="619" customFormat="1" ht="16" thickBot="1">
      <c r="A54" s="556"/>
      <c r="B54" s="791"/>
      <c r="C54" s="556"/>
      <c r="D54" s="791"/>
      <c r="E54" s="558"/>
      <c r="F54" s="745"/>
      <c r="G54" s="793"/>
      <c r="H54" s="747"/>
      <c r="I54" s="793"/>
      <c r="J54" s="747"/>
      <c r="K54" s="747"/>
      <c r="L54" s="793"/>
      <c r="M54" s="747"/>
    </row>
    <row r="55" spans="1:13" s="619" customFormat="1" ht="16" thickBot="1">
      <c r="A55" s="1148" t="s">
        <v>995</v>
      </c>
      <c r="B55" s="1149"/>
      <c r="C55" s="1149"/>
      <c r="D55" s="1149"/>
      <c r="E55" s="1149"/>
      <c r="F55" s="1149"/>
      <c r="G55" s="1149"/>
      <c r="H55" s="1149"/>
      <c r="I55" s="1149"/>
      <c r="J55" s="1149"/>
      <c r="K55" s="1149"/>
      <c r="L55" s="1149"/>
      <c r="M55" s="1150"/>
    </row>
    <row r="56" spans="1:13" s="619" customFormat="1">
      <c r="A56" s="861"/>
      <c r="B56" s="862"/>
      <c r="C56" s="863"/>
      <c r="D56" s="862"/>
      <c r="E56" s="863"/>
      <c r="F56" s="864"/>
      <c r="G56" s="865"/>
      <c r="H56" s="866"/>
      <c r="I56" s="865"/>
      <c r="J56" s="866"/>
      <c r="K56" s="866"/>
      <c r="L56" s="865"/>
      <c r="M56" s="867"/>
    </row>
    <row r="57" spans="1:13" s="619" customFormat="1">
      <c r="A57" s="861" t="s">
        <v>874</v>
      </c>
      <c r="B57" s="862"/>
      <c r="C57" s="863" t="s">
        <v>1032</v>
      </c>
      <c r="D57" s="862"/>
      <c r="E57" s="863"/>
      <c r="F57" s="864"/>
      <c r="G57" s="865"/>
      <c r="H57" s="866"/>
      <c r="I57" s="865"/>
      <c r="J57" s="866"/>
      <c r="K57" s="866"/>
      <c r="L57" s="865"/>
      <c r="M57" s="867"/>
    </row>
    <row r="58" spans="1:13" s="619" customFormat="1">
      <c r="A58" s="861" t="s">
        <v>876</v>
      </c>
      <c r="B58" s="862"/>
      <c r="C58" s="868">
        <v>47027</v>
      </c>
      <c r="D58" s="862"/>
      <c r="E58" s="869"/>
      <c r="F58" s="864"/>
      <c r="G58" s="865"/>
      <c r="H58" s="866"/>
      <c r="I58" s="865"/>
      <c r="J58" s="870"/>
      <c r="K58" s="866"/>
      <c r="L58" s="865"/>
      <c r="M58" s="867"/>
    </row>
    <row r="59" spans="1:13" s="619" customFormat="1" ht="16" thickBot="1">
      <c r="A59" s="861"/>
      <c r="B59" s="862"/>
      <c r="C59" s="863"/>
      <c r="D59" s="862"/>
      <c r="E59" s="863"/>
      <c r="F59" s="864"/>
      <c r="G59" s="865"/>
      <c r="H59" s="866"/>
      <c r="I59" s="865"/>
      <c r="J59" s="866"/>
      <c r="K59" s="866"/>
      <c r="L59" s="865"/>
      <c r="M59" s="867"/>
    </row>
    <row r="60" spans="1:13" s="619" customFormat="1" ht="16" thickBot="1">
      <c r="A60" s="1148" t="s">
        <v>877</v>
      </c>
      <c r="B60" s="1149"/>
      <c r="C60" s="1149"/>
      <c r="D60" s="1149"/>
      <c r="E60" s="1149"/>
      <c r="F60" s="1149"/>
      <c r="G60" s="1149"/>
      <c r="H60" s="1149"/>
      <c r="I60" s="1149"/>
      <c r="J60" s="1149"/>
      <c r="K60" s="1149"/>
      <c r="L60" s="1149"/>
      <c r="M60" s="1150"/>
    </row>
    <row r="61" spans="1:13" s="619" customFormat="1">
      <c r="A61" s="871" t="s">
        <v>878</v>
      </c>
      <c r="B61" s="872"/>
      <c r="C61" s="872" t="s">
        <v>879</v>
      </c>
      <c r="D61" s="872"/>
      <c r="E61" s="872" t="s">
        <v>880</v>
      </c>
      <c r="F61" s="873"/>
      <c r="G61" s="874" t="s">
        <v>881</v>
      </c>
      <c r="H61" s="875"/>
      <c r="I61" s="874" t="s">
        <v>515</v>
      </c>
      <c r="J61" s="875"/>
      <c r="K61" s="875" t="s">
        <v>516</v>
      </c>
      <c r="L61" s="874"/>
      <c r="M61" s="876" t="s">
        <v>517</v>
      </c>
    </row>
    <row r="62" spans="1:13" s="619" customFormat="1">
      <c r="A62" s="861" t="s">
        <v>169</v>
      </c>
      <c r="B62" s="877"/>
      <c r="C62" s="878" t="s">
        <v>884</v>
      </c>
      <c r="D62" s="878"/>
      <c r="E62" s="879">
        <v>0</v>
      </c>
      <c r="F62" s="880"/>
      <c r="G62" s="881">
        <v>0</v>
      </c>
      <c r="H62" s="882"/>
      <c r="I62" s="881">
        <v>0</v>
      </c>
      <c r="J62" s="881"/>
      <c r="K62" s="881">
        <v>0</v>
      </c>
      <c r="L62" s="881"/>
      <c r="M62" s="883">
        <v>0</v>
      </c>
    </row>
    <row r="63" spans="1:13" s="619" customFormat="1">
      <c r="A63" s="861" t="s">
        <v>883</v>
      </c>
      <c r="B63" s="877"/>
      <c r="C63" s="878" t="s">
        <v>882</v>
      </c>
      <c r="D63" s="878"/>
      <c r="E63" s="879">
        <v>54.99</v>
      </c>
      <c r="F63" s="880"/>
      <c r="G63" s="881">
        <v>1050</v>
      </c>
      <c r="H63" s="881"/>
      <c r="I63" s="881">
        <v>20</v>
      </c>
      <c r="J63" s="881"/>
      <c r="K63" s="881">
        <v>8</v>
      </c>
      <c r="L63" s="881"/>
      <c r="M63" s="884">
        <v>7</v>
      </c>
    </row>
    <row r="64" spans="1:13" s="619" customFormat="1">
      <c r="A64" s="861" t="s">
        <v>885</v>
      </c>
      <c r="B64" s="877"/>
      <c r="C64" s="878" t="s">
        <v>882</v>
      </c>
      <c r="D64" s="878"/>
      <c r="E64" s="879">
        <v>34.99</v>
      </c>
      <c r="F64" s="880"/>
      <c r="G64" s="881">
        <v>525</v>
      </c>
      <c r="H64" s="881"/>
      <c r="I64" s="881">
        <v>40</v>
      </c>
      <c r="J64" s="881"/>
      <c r="K64" s="881">
        <v>8</v>
      </c>
      <c r="L64" s="881"/>
      <c r="M64" s="884">
        <v>4</v>
      </c>
    </row>
    <row r="65" spans="1:13" s="619" customFormat="1">
      <c r="A65" s="861" t="s">
        <v>886</v>
      </c>
      <c r="B65" s="877"/>
      <c r="C65" s="878" t="s">
        <v>882</v>
      </c>
      <c r="D65" s="878"/>
      <c r="E65" s="879">
        <v>16.989999999999998</v>
      </c>
      <c r="F65" s="880"/>
      <c r="G65" s="881">
        <v>525</v>
      </c>
      <c r="H65" s="881"/>
      <c r="I65" s="881">
        <v>24</v>
      </c>
      <c r="J65" s="881"/>
      <c r="K65" s="881">
        <v>1</v>
      </c>
      <c r="L65" s="881"/>
      <c r="M65" s="884">
        <v>30</v>
      </c>
    </row>
    <row r="66" spans="1:13" ht="16" thickBot="1">
      <c r="A66" s="886" t="s">
        <v>992</v>
      </c>
      <c r="B66" s="887"/>
      <c r="C66" s="888" t="s">
        <v>884</v>
      </c>
      <c r="D66" s="888"/>
      <c r="E66" s="889">
        <v>0</v>
      </c>
      <c r="F66" s="890"/>
      <c r="G66" s="891">
        <v>0</v>
      </c>
      <c r="H66" s="891"/>
      <c r="I66" s="891">
        <v>0</v>
      </c>
      <c r="J66" s="891"/>
      <c r="K66" s="891">
        <v>0</v>
      </c>
      <c r="L66" s="891"/>
      <c r="M66" s="892">
        <v>0</v>
      </c>
    </row>
    <row r="67" spans="1:13" ht="16" thickBot="1"/>
    <row r="68" spans="1:13" ht="16" thickBot="1">
      <c r="A68" s="1151" t="s">
        <v>996</v>
      </c>
      <c r="B68" s="1152"/>
      <c r="C68" s="1152"/>
      <c r="D68" s="1152"/>
      <c r="E68" s="1152"/>
      <c r="F68" s="1152"/>
      <c r="G68" s="1152"/>
      <c r="H68" s="1152"/>
      <c r="I68" s="1152"/>
      <c r="J68" s="1152"/>
      <c r="K68" s="1152"/>
      <c r="L68" s="1152"/>
      <c r="M68" s="1153"/>
    </row>
    <row r="69" spans="1:13">
      <c r="A69" s="893"/>
      <c r="B69" s="894"/>
      <c r="C69" s="895"/>
      <c r="D69" s="894"/>
      <c r="E69" s="895"/>
      <c r="F69" s="896"/>
      <c r="G69" s="897"/>
      <c r="H69" s="898"/>
      <c r="I69" s="897"/>
      <c r="J69" s="898"/>
      <c r="K69" s="898"/>
      <c r="L69" s="897"/>
      <c r="M69" s="899"/>
    </row>
    <row r="70" spans="1:13">
      <c r="A70" s="893" t="s">
        <v>874</v>
      </c>
      <c r="B70" s="894"/>
      <c r="C70" s="895" t="s">
        <v>1033</v>
      </c>
      <c r="D70" s="894"/>
      <c r="E70" s="895"/>
      <c r="F70" s="896"/>
      <c r="G70" s="897"/>
      <c r="H70" s="898"/>
      <c r="I70" s="897"/>
      <c r="J70" s="898"/>
      <c r="K70" s="898"/>
      <c r="L70" s="897"/>
      <c r="M70" s="899"/>
    </row>
    <row r="71" spans="1:13">
      <c r="A71" s="893" t="s">
        <v>876</v>
      </c>
      <c r="B71" s="894"/>
      <c r="C71" s="900">
        <v>47209</v>
      </c>
      <c r="D71" s="894"/>
      <c r="E71" s="901"/>
      <c r="F71" s="896"/>
      <c r="G71" s="897"/>
      <c r="H71" s="898"/>
      <c r="I71" s="897"/>
      <c r="J71" s="902"/>
      <c r="K71" s="898"/>
      <c r="L71" s="897"/>
      <c r="M71" s="899"/>
    </row>
    <row r="72" spans="1:13" ht="16" thickBot="1">
      <c r="A72" s="893"/>
      <c r="B72" s="894"/>
      <c r="C72" s="895"/>
      <c r="D72" s="894"/>
      <c r="E72" s="895"/>
      <c r="F72" s="896"/>
      <c r="G72" s="897"/>
      <c r="H72" s="898"/>
      <c r="I72" s="897"/>
      <c r="J72" s="898"/>
      <c r="K72" s="898"/>
      <c r="L72" s="897"/>
      <c r="M72" s="899"/>
    </row>
    <row r="73" spans="1:13" ht="16" thickBot="1">
      <c r="A73" s="1151" t="s">
        <v>877</v>
      </c>
      <c r="B73" s="1152"/>
      <c r="C73" s="1152"/>
      <c r="D73" s="1152"/>
      <c r="E73" s="1152"/>
      <c r="F73" s="1152"/>
      <c r="G73" s="1152"/>
      <c r="H73" s="1152"/>
      <c r="I73" s="1152"/>
      <c r="J73" s="1152"/>
      <c r="K73" s="1152"/>
      <c r="L73" s="1152"/>
      <c r="M73" s="1153"/>
    </row>
    <row r="74" spans="1:13">
      <c r="A74" s="903" t="s">
        <v>878</v>
      </c>
      <c r="B74" s="904"/>
      <c r="C74" s="904" t="s">
        <v>879</v>
      </c>
      <c r="D74" s="904"/>
      <c r="E74" s="904" t="s">
        <v>880</v>
      </c>
      <c r="F74" s="905"/>
      <c r="G74" s="906" t="s">
        <v>881</v>
      </c>
      <c r="H74" s="907"/>
      <c r="I74" s="906" t="s">
        <v>515</v>
      </c>
      <c r="J74" s="907"/>
      <c r="K74" s="907" t="s">
        <v>516</v>
      </c>
      <c r="L74" s="906"/>
      <c r="M74" s="908" t="s">
        <v>517</v>
      </c>
    </row>
    <row r="75" spans="1:13">
      <c r="A75" s="893" t="s">
        <v>169</v>
      </c>
      <c r="B75" s="909"/>
      <c r="C75" s="910" t="s">
        <v>884</v>
      </c>
      <c r="D75" s="910"/>
      <c r="E75" s="911">
        <v>0</v>
      </c>
      <c r="F75" s="912"/>
      <c r="G75" s="913">
        <v>0</v>
      </c>
      <c r="H75" s="914"/>
      <c r="I75" s="913">
        <v>0</v>
      </c>
      <c r="J75" s="913"/>
      <c r="K75" s="913">
        <v>0</v>
      </c>
      <c r="L75" s="913"/>
      <c r="M75" s="915">
        <v>0</v>
      </c>
    </row>
    <row r="76" spans="1:13">
      <c r="A76" s="893" t="s">
        <v>883</v>
      </c>
      <c r="B76" s="909"/>
      <c r="C76" s="910" t="s">
        <v>882</v>
      </c>
      <c r="D76" s="910"/>
      <c r="E76" s="911">
        <v>54.99</v>
      </c>
      <c r="F76" s="912"/>
      <c r="G76" s="913">
        <v>1100</v>
      </c>
      <c r="H76" s="913"/>
      <c r="I76" s="913">
        <v>20</v>
      </c>
      <c r="J76" s="913"/>
      <c r="K76" s="913">
        <v>8</v>
      </c>
      <c r="L76" s="913"/>
      <c r="M76" s="916">
        <v>7</v>
      </c>
    </row>
    <row r="77" spans="1:13">
      <c r="A77" s="893" t="s">
        <v>885</v>
      </c>
      <c r="B77" s="909"/>
      <c r="C77" s="910" t="s">
        <v>882</v>
      </c>
      <c r="D77" s="910"/>
      <c r="E77" s="911">
        <v>34.99</v>
      </c>
      <c r="F77" s="912"/>
      <c r="G77" s="913">
        <v>550</v>
      </c>
      <c r="H77" s="913"/>
      <c r="I77" s="913">
        <v>40</v>
      </c>
      <c r="J77" s="913"/>
      <c r="K77" s="913">
        <v>8</v>
      </c>
      <c r="L77" s="913"/>
      <c r="M77" s="916">
        <v>4</v>
      </c>
    </row>
    <row r="78" spans="1:13">
      <c r="A78" s="893" t="s">
        <v>886</v>
      </c>
      <c r="B78" s="909"/>
      <c r="C78" s="910" t="s">
        <v>882</v>
      </c>
      <c r="D78" s="910"/>
      <c r="E78" s="911">
        <v>16.989999999999998</v>
      </c>
      <c r="F78" s="912"/>
      <c r="G78" s="913">
        <v>550</v>
      </c>
      <c r="H78" s="913"/>
      <c r="I78" s="913">
        <v>24</v>
      </c>
      <c r="J78" s="913"/>
      <c r="K78" s="913">
        <v>1</v>
      </c>
      <c r="L78" s="913"/>
      <c r="M78" s="916">
        <v>30</v>
      </c>
    </row>
    <row r="79" spans="1:13" ht="16" thickBot="1">
      <c r="A79" s="917" t="s">
        <v>992</v>
      </c>
      <c r="B79" s="918"/>
      <c r="C79" s="919" t="s">
        <v>884</v>
      </c>
      <c r="D79" s="919"/>
      <c r="E79" s="920">
        <v>0</v>
      </c>
      <c r="F79" s="921"/>
      <c r="G79" s="922">
        <v>0</v>
      </c>
      <c r="H79" s="922"/>
      <c r="I79" s="922">
        <v>0</v>
      </c>
      <c r="J79" s="922"/>
      <c r="K79" s="922">
        <v>0</v>
      </c>
      <c r="L79" s="922"/>
      <c r="M79" s="923">
        <v>0</v>
      </c>
    </row>
    <row r="80" spans="1:13" ht="16" thickBot="1"/>
    <row r="81" spans="1:13" ht="16" thickBot="1">
      <c r="A81" s="1145" t="s">
        <v>997</v>
      </c>
      <c r="B81" s="1146"/>
      <c r="C81" s="1146"/>
      <c r="D81" s="1146"/>
      <c r="E81" s="1146"/>
      <c r="F81" s="1146"/>
      <c r="G81" s="1146"/>
      <c r="H81" s="1146"/>
      <c r="I81" s="1146"/>
      <c r="J81" s="1146"/>
      <c r="K81" s="1146"/>
      <c r="L81" s="1146"/>
      <c r="M81" s="1147"/>
    </row>
    <row r="82" spans="1:13">
      <c r="A82" s="924"/>
      <c r="B82" s="925"/>
      <c r="C82" s="926"/>
      <c r="D82" s="925"/>
      <c r="E82" s="926"/>
      <c r="F82" s="927"/>
      <c r="G82" s="928"/>
      <c r="H82" s="929"/>
      <c r="I82" s="928"/>
      <c r="J82" s="929"/>
      <c r="K82" s="929"/>
      <c r="L82" s="928"/>
      <c r="M82" s="930"/>
    </row>
    <row r="83" spans="1:13">
      <c r="A83" s="924" t="s">
        <v>874</v>
      </c>
      <c r="B83" s="925"/>
      <c r="C83" s="926" t="s">
        <v>1033</v>
      </c>
      <c r="D83" s="925"/>
      <c r="E83" s="926"/>
      <c r="F83" s="927"/>
      <c r="G83" s="928"/>
      <c r="H83" s="929"/>
      <c r="I83" s="928"/>
      <c r="J83" s="929"/>
      <c r="K83" s="929"/>
      <c r="L83" s="928"/>
      <c r="M83" s="930"/>
    </row>
    <row r="84" spans="1:13">
      <c r="A84" s="924" t="s">
        <v>876</v>
      </c>
      <c r="B84" s="925"/>
      <c r="C84" s="931">
        <v>47027</v>
      </c>
      <c r="D84" s="925"/>
      <c r="E84" s="932"/>
      <c r="F84" s="927"/>
      <c r="G84" s="928"/>
      <c r="H84" s="929"/>
      <c r="I84" s="928"/>
      <c r="J84" s="933"/>
      <c r="K84" s="929"/>
      <c r="L84" s="928"/>
      <c r="M84" s="930"/>
    </row>
    <row r="85" spans="1:13" ht="16" thickBot="1">
      <c r="A85" s="924"/>
      <c r="B85" s="925"/>
      <c r="C85" s="926"/>
      <c r="D85" s="925"/>
      <c r="E85" s="926"/>
      <c r="F85" s="927"/>
      <c r="G85" s="928"/>
      <c r="H85" s="929"/>
      <c r="I85" s="928"/>
      <c r="J85" s="929"/>
      <c r="K85" s="929"/>
      <c r="L85" s="928"/>
      <c r="M85" s="930"/>
    </row>
    <row r="86" spans="1:13" ht="16" thickBot="1">
      <c r="A86" s="1145" t="s">
        <v>877</v>
      </c>
      <c r="B86" s="1146"/>
      <c r="C86" s="1146"/>
      <c r="D86" s="1146"/>
      <c r="E86" s="1146"/>
      <c r="F86" s="1146"/>
      <c r="G86" s="1146"/>
      <c r="H86" s="1146"/>
      <c r="I86" s="1146"/>
      <c r="J86" s="1146"/>
      <c r="K86" s="1146"/>
      <c r="L86" s="1146"/>
      <c r="M86" s="1147"/>
    </row>
    <row r="87" spans="1:13">
      <c r="A87" s="934" t="s">
        <v>878</v>
      </c>
      <c r="B87" s="935"/>
      <c r="C87" s="935" t="s">
        <v>879</v>
      </c>
      <c r="D87" s="935"/>
      <c r="E87" s="935" t="s">
        <v>880</v>
      </c>
      <c r="F87" s="936"/>
      <c r="G87" s="937" t="s">
        <v>881</v>
      </c>
      <c r="H87" s="938"/>
      <c r="I87" s="937" t="s">
        <v>515</v>
      </c>
      <c r="J87" s="938"/>
      <c r="K87" s="938" t="s">
        <v>516</v>
      </c>
      <c r="L87" s="937"/>
      <c r="M87" s="939" t="s">
        <v>517</v>
      </c>
    </row>
    <row r="88" spans="1:13">
      <c r="A88" s="924" t="s">
        <v>169</v>
      </c>
      <c r="B88" s="940"/>
      <c r="C88" s="941" t="s">
        <v>884</v>
      </c>
      <c r="D88" s="941"/>
      <c r="E88" s="942">
        <v>0</v>
      </c>
      <c r="F88" s="943"/>
      <c r="G88" s="944">
        <v>0</v>
      </c>
      <c r="H88" s="945"/>
      <c r="I88" s="944">
        <v>0</v>
      </c>
      <c r="J88" s="944"/>
      <c r="K88" s="944">
        <v>0</v>
      </c>
      <c r="L88" s="944"/>
      <c r="M88" s="946">
        <v>0</v>
      </c>
    </row>
    <row r="89" spans="1:13">
      <c r="A89" s="924" t="s">
        <v>883</v>
      </c>
      <c r="B89" s="940"/>
      <c r="C89" s="941" t="s">
        <v>882</v>
      </c>
      <c r="D89" s="941"/>
      <c r="E89" s="942">
        <v>54.99</v>
      </c>
      <c r="F89" s="943"/>
      <c r="G89" s="944">
        <v>1100</v>
      </c>
      <c r="H89" s="944"/>
      <c r="I89" s="944">
        <v>20</v>
      </c>
      <c r="J89" s="944"/>
      <c r="K89" s="944">
        <v>8</v>
      </c>
      <c r="L89" s="944"/>
      <c r="M89" s="947">
        <v>7</v>
      </c>
    </row>
    <row r="90" spans="1:13">
      <c r="A90" s="924" t="s">
        <v>885</v>
      </c>
      <c r="B90" s="940"/>
      <c r="C90" s="941" t="s">
        <v>882</v>
      </c>
      <c r="D90" s="941"/>
      <c r="E90" s="942">
        <v>34.99</v>
      </c>
      <c r="F90" s="943"/>
      <c r="G90" s="944">
        <v>550</v>
      </c>
      <c r="H90" s="944"/>
      <c r="I90" s="944">
        <v>40</v>
      </c>
      <c r="J90" s="944"/>
      <c r="K90" s="944">
        <v>8</v>
      </c>
      <c r="L90" s="944"/>
      <c r="M90" s="947">
        <v>4</v>
      </c>
    </row>
    <row r="91" spans="1:13">
      <c r="A91" s="924" t="s">
        <v>886</v>
      </c>
      <c r="B91" s="940"/>
      <c r="C91" s="941" t="s">
        <v>882</v>
      </c>
      <c r="D91" s="941"/>
      <c r="E91" s="942">
        <v>16.989999999999998</v>
      </c>
      <c r="F91" s="943"/>
      <c r="G91" s="944">
        <v>550</v>
      </c>
      <c r="H91" s="944"/>
      <c r="I91" s="944">
        <v>24</v>
      </c>
      <c r="J91" s="944"/>
      <c r="K91" s="944">
        <v>1</v>
      </c>
      <c r="L91" s="944"/>
      <c r="M91" s="947">
        <v>30</v>
      </c>
    </row>
    <row r="92" spans="1:13" ht="16" thickBot="1">
      <c r="A92" s="948" t="s">
        <v>992</v>
      </c>
      <c r="B92" s="949"/>
      <c r="C92" s="950" t="s">
        <v>884</v>
      </c>
      <c r="D92" s="950"/>
      <c r="E92" s="951">
        <v>0</v>
      </c>
      <c r="F92" s="952"/>
      <c r="G92" s="953">
        <v>0</v>
      </c>
      <c r="H92" s="953"/>
      <c r="I92" s="953">
        <v>0</v>
      </c>
      <c r="J92" s="953"/>
      <c r="K92" s="953">
        <v>0</v>
      </c>
      <c r="L92" s="953"/>
      <c r="M92" s="954">
        <v>0</v>
      </c>
    </row>
    <row r="93" spans="1:13" ht="16" thickBot="1"/>
    <row r="94" spans="1:13" ht="16" thickBot="1">
      <c r="A94" s="1148" t="s">
        <v>554</v>
      </c>
      <c r="B94" s="1149"/>
      <c r="C94" s="1149"/>
      <c r="D94" s="1149"/>
      <c r="E94" s="1149"/>
      <c r="F94" s="1149"/>
      <c r="G94" s="1149"/>
      <c r="H94" s="1149"/>
      <c r="I94" s="1149"/>
      <c r="J94" s="1149"/>
      <c r="K94" s="1149"/>
      <c r="L94" s="1149"/>
      <c r="M94" s="1150"/>
    </row>
    <row r="95" spans="1:13">
      <c r="A95" s="861"/>
      <c r="B95" s="862"/>
      <c r="C95" s="863"/>
      <c r="D95" s="862"/>
      <c r="E95" s="863"/>
      <c r="F95" s="864"/>
      <c r="G95" s="865"/>
      <c r="H95" s="866"/>
      <c r="I95" s="865"/>
      <c r="J95" s="866"/>
      <c r="K95" s="866"/>
      <c r="L95" s="865"/>
      <c r="M95" s="867"/>
    </row>
    <row r="96" spans="1:13">
      <c r="A96" s="861" t="s">
        <v>874</v>
      </c>
      <c r="B96" s="862"/>
      <c r="C96" s="863"/>
      <c r="D96" s="862"/>
      <c r="E96" s="863"/>
      <c r="F96" s="864"/>
      <c r="G96" s="865"/>
      <c r="H96" s="866"/>
      <c r="I96" s="865"/>
      <c r="J96" s="866"/>
      <c r="K96" s="866"/>
      <c r="L96" s="865"/>
      <c r="M96" s="867"/>
    </row>
    <row r="97" spans="1:13">
      <c r="A97" s="861" t="s">
        <v>876</v>
      </c>
      <c r="B97" s="862"/>
      <c r="C97" s="868"/>
      <c r="D97" s="862"/>
      <c r="E97" s="869"/>
      <c r="F97" s="864"/>
      <c r="G97" s="865"/>
      <c r="H97" s="866"/>
      <c r="I97" s="865"/>
      <c r="J97" s="870"/>
      <c r="K97" s="866"/>
      <c r="L97" s="865"/>
      <c r="M97" s="867"/>
    </row>
    <row r="98" spans="1:13" ht="16" thickBot="1">
      <c r="A98" s="861"/>
      <c r="B98" s="862"/>
      <c r="C98" s="863"/>
      <c r="D98" s="862"/>
      <c r="E98" s="863"/>
      <c r="F98" s="864"/>
      <c r="G98" s="865"/>
      <c r="H98" s="866"/>
      <c r="I98" s="865"/>
      <c r="J98" s="866"/>
      <c r="K98" s="866"/>
      <c r="L98" s="865"/>
      <c r="M98" s="867"/>
    </row>
    <row r="99" spans="1:13" ht="16" thickBot="1">
      <c r="A99" s="1148" t="s">
        <v>877</v>
      </c>
      <c r="B99" s="1149"/>
      <c r="C99" s="1149"/>
      <c r="D99" s="1149"/>
      <c r="E99" s="1149"/>
      <c r="F99" s="1149"/>
      <c r="G99" s="1149"/>
      <c r="H99" s="1149"/>
      <c r="I99" s="1149"/>
      <c r="J99" s="1149"/>
      <c r="K99" s="1149"/>
      <c r="L99" s="1149"/>
      <c r="M99" s="1150"/>
    </row>
    <row r="100" spans="1:13">
      <c r="A100" s="871" t="s">
        <v>878</v>
      </c>
      <c r="B100" s="872"/>
      <c r="C100" s="872" t="s">
        <v>879</v>
      </c>
      <c r="D100" s="872"/>
      <c r="E100" s="872" t="s">
        <v>880</v>
      </c>
      <c r="F100" s="873"/>
      <c r="G100" s="874" t="s">
        <v>881</v>
      </c>
      <c r="H100" s="875"/>
      <c r="I100" s="874" t="s">
        <v>515</v>
      </c>
      <c r="J100" s="875"/>
      <c r="K100" s="875" t="s">
        <v>516</v>
      </c>
      <c r="L100" s="874"/>
      <c r="M100" s="876" t="s">
        <v>517</v>
      </c>
    </row>
    <row r="101" spans="1:13">
      <c r="A101" s="861" t="s">
        <v>169</v>
      </c>
      <c r="B101" s="877"/>
      <c r="C101" s="878" t="s">
        <v>882</v>
      </c>
      <c r="D101" s="878"/>
      <c r="E101" s="879"/>
      <c r="F101" s="880"/>
      <c r="G101" s="881"/>
      <c r="H101" s="882"/>
      <c r="I101" s="881"/>
      <c r="J101" s="881"/>
      <c r="K101" s="881"/>
      <c r="L101" s="881"/>
      <c r="M101" s="883"/>
    </row>
    <row r="102" spans="1:13">
      <c r="A102" s="861" t="s">
        <v>883</v>
      </c>
      <c r="B102" s="877"/>
      <c r="C102" s="878" t="s">
        <v>884</v>
      </c>
      <c r="D102" s="878"/>
      <c r="E102" s="879"/>
      <c r="F102" s="880"/>
      <c r="G102" s="881"/>
      <c r="H102" s="881"/>
      <c r="I102" s="881"/>
      <c r="J102" s="881"/>
      <c r="K102" s="881"/>
      <c r="L102" s="881"/>
      <c r="M102" s="884"/>
    </row>
    <row r="103" spans="1:13">
      <c r="A103" s="861" t="s">
        <v>885</v>
      </c>
      <c r="B103" s="877"/>
      <c r="C103" s="878" t="s">
        <v>882</v>
      </c>
      <c r="D103" s="878"/>
      <c r="E103" s="879"/>
      <c r="F103" s="880"/>
      <c r="G103" s="881"/>
      <c r="H103" s="881"/>
      <c r="I103" s="881"/>
      <c r="J103" s="881"/>
      <c r="K103" s="881"/>
      <c r="L103" s="881"/>
      <c r="M103" s="884"/>
    </row>
    <row r="104" spans="1:13">
      <c r="A104" s="861" t="s">
        <v>886</v>
      </c>
      <c r="B104" s="877"/>
      <c r="C104" s="878" t="s">
        <v>882</v>
      </c>
      <c r="D104" s="878"/>
      <c r="E104" s="879"/>
      <c r="F104" s="880"/>
      <c r="G104" s="881"/>
      <c r="H104" s="881"/>
      <c r="I104" s="881"/>
      <c r="J104" s="881"/>
      <c r="K104" s="881"/>
      <c r="L104" s="881"/>
      <c r="M104" s="884"/>
    </row>
    <row r="105" spans="1:13" ht="16" thickBot="1">
      <c r="A105" s="886" t="s">
        <v>992</v>
      </c>
      <c r="B105" s="887"/>
      <c r="C105" s="888" t="s">
        <v>882</v>
      </c>
      <c r="D105" s="888"/>
      <c r="E105" s="889"/>
      <c r="F105" s="890"/>
      <c r="G105" s="891"/>
      <c r="H105" s="891"/>
      <c r="I105" s="891"/>
      <c r="J105" s="891"/>
      <c r="K105" s="891"/>
      <c r="L105" s="891"/>
      <c r="M105" s="892"/>
    </row>
    <row r="106" spans="1:13" ht="16" thickBot="1"/>
    <row r="107" spans="1:13" ht="16" thickBot="1">
      <c r="A107" s="1151" t="s">
        <v>555</v>
      </c>
      <c r="B107" s="1152"/>
      <c r="C107" s="1152"/>
      <c r="D107" s="1152"/>
      <c r="E107" s="1152"/>
      <c r="F107" s="1152"/>
      <c r="G107" s="1152"/>
      <c r="H107" s="1152"/>
      <c r="I107" s="1152"/>
      <c r="J107" s="1152"/>
      <c r="K107" s="1152"/>
      <c r="L107" s="1152"/>
      <c r="M107" s="1153"/>
    </row>
    <row r="108" spans="1:13">
      <c r="A108" s="893"/>
      <c r="B108" s="894"/>
      <c r="C108" s="895"/>
      <c r="D108" s="894"/>
      <c r="E108" s="895"/>
      <c r="F108" s="896"/>
      <c r="G108" s="897"/>
      <c r="H108" s="898"/>
      <c r="I108" s="897"/>
      <c r="J108" s="898"/>
      <c r="K108" s="898"/>
      <c r="L108" s="897"/>
      <c r="M108" s="899"/>
    </row>
    <row r="109" spans="1:13">
      <c r="A109" s="893" t="s">
        <v>874</v>
      </c>
      <c r="B109" s="894"/>
      <c r="C109" s="895"/>
      <c r="D109" s="894"/>
      <c r="E109" s="895"/>
      <c r="F109" s="896"/>
      <c r="G109" s="897"/>
      <c r="H109" s="898"/>
      <c r="I109" s="897"/>
      <c r="J109" s="898"/>
      <c r="K109" s="898"/>
      <c r="L109" s="897"/>
      <c r="M109" s="899"/>
    </row>
    <row r="110" spans="1:13">
      <c r="A110" s="893" t="s">
        <v>876</v>
      </c>
      <c r="B110" s="894"/>
      <c r="C110" s="900"/>
      <c r="D110" s="894"/>
      <c r="E110" s="901"/>
      <c r="F110" s="896"/>
      <c r="G110" s="897"/>
      <c r="H110" s="898"/>
      <c r="I110" s="897"/>
      <c r="J110" s="902"/>
      <c r="K110" s="898"/>
      <c r="L110" s="897"/>
      <c r="M110" s="899"/>
    </row>
    <row r="111" spans="1:13" ht="16" thickBot="1">
      <c r="A111" s="893"/>
      <c r="B111" s="894"/>
      <c r="C111" s="895"/>
      <c r="D111" s="894"/>
      <c r="E111" s="895"/>
      <c r="F111" s="896"/>
      <c r="G111" s="897"/>
      <c r="H111" s="898"/>
      <c r="I111" s="897"/>
      <c r="J111" s="898"/>
      <c r="K111" s="898"/>
      <c r="L111" s="897"/>
      <c r="M111" s="899"/>
    </row>
    <row r="112" spans="1:13" ht="16" thickBot="1">
      <c r="A112" s="1151" t="s">
        <v>877</v>
      </c>
      <c r="B112" s="1152"/>
      <c r="C112" s="1152"/>
      <c r="D112" s="1152"/>
      <c r="E112" s="1152"/>
      <c r="F112" s="1152"/>
      <c r="G112" s="1152"/>
      <c r="H112" s="1152"/>
      <c r="I112" s="1152"/>
      <c r="J112" s="1152"/>
      <c r="K112" s="1152"/>
      <c r="L112" s="1152"/>
      <c r="M112" s="1153"/>
    </row>
    <row r="113" spans="1:13">
      <c r="A113" s="903" t="s">
        <v>878</v>
      </c>
      <c r="B113" s="904"/>
      <c r="C113" s="904" t="s">
        <v>879</v>
      </c>
      <c r="D113" s="904"/>
      <c r="E113" s="904" t="s">
        <v>880</v>
      </c>
      <c r="F113" s="905"/>
      <c r="G113" s="906" t="s">
        <v>881</v>
      </c>
      <c r="H113" s="907"/>
      <c r="I113" s="906" t="s">
        <v>515</v>
      </c>
      <c r="J113" s="907"/>
      <c r="K113" s="907" t="s">
        <v>516</v>
      </c>
      <c r="L113" s="906"/>
      <c r="M113" s="908" t="s">
        <v>517</v>
      </c>
    </row>
    <row r="114" spans="1:13">
      <c r="A114" s="893" t="s">
        <v>169</v>
      </c>
      <c r="B114" s="909"/>
      <c r="C114" s="910" t="s">
        <v>882</v>
      </c>
      <c r="D114" s="910"/>
      <c r="E114" s="911"/>
      <c r="F114" s="912"/>
      <c r="G114" s="913"/>
      <c r="H114" s="914"/>
      <c r="I114" s="913"/>
      <c r="J114" s="913"/>
      <c r="K114" s="913"/>
      <c r="L114" s="913"/>
      <c r="M114" s="915"/>
    </row>
    <row r="115" spans="1:13">
      <c r="A115" s="893" t="s">
        <v>883</v>
      </c>
      <c r="B115" s="909"/>
      <c r="C115" s="910" t="s">
        <v>882</v>
      </c>
      <c r="D115" s="910"/>
      <c r="E115" s="911"/>
      <c r="F115" s="912"/>
      <c r="G115" s="913"/>
      <c r="H115" s="913"/>
      <c r="I115" s="913"/>
      <c r="J115" s="913"/>
      <c r="K115" s="913"/>
      <c r="L115" s="913"/>
      <c r="M115" s="916"/>
    </row>
    <row r="116" spans="1:13">
      <c r="A116" s="893" t="s">
        <v>885</v>
      </c>
      <c r="B116" s="909"/>
      <c r="C116" s="910" t="s">
        <v>882</v>
      </c>
      <c r="D116" s="910"/>
      <c r="E116" s="911"/>
      <c r="F116" s="912"/>
      <c r="G116" s="913"/>
      <c r="H116" s="913"/>
      <c r="I116" s="913"/>
      <c r="J116" s="913"/>
      <c r="K116" s="913"/>
      <c r="L116" s="913"/>
      <c r="M116" s="916"/>
    </row>
    <row r="117" spans="1:13">
      <c r="A117" s="893" t="s">
        <v>886</v>
      </c>
      <c r="B117" s="909"/>
      <c r="C117" s="910" t="s">
        <v>882</v>
      </c>
      <c r="D117" s="910"/>
      <c r="E117" s="911"/>
      <c r="F117" s="912"/>
      <c r="G117" s="913"/>
      <c r="H117" s="913"/>
      <c r="I117" s="913"/>
      <c r="J117" s="913"/>
      <c r="K117" s="913"/>
      <c r="L117" s="913"/>
      <c r="M117" s="916"/>
    </row>
    <row r="118" spans="1:13" ht="16" thickBot="1">
      <c r="A118" s="917" t="s">
        <v>992</v>
      </c>
      <c r="B118" s="918"/>
      <c r="C118" s="919" t="s">
        <v>882</v>
      </c>
      <c r="D118" s="919"/>
      <c r="E118" s="920"/>
      <c r="F118" s="921"/>
      <c r="G118" s="922"/>
      <c r="H118" s="922"/>
      <c r="I118" s="922"/>
      <c r="J118" s="922"/>
      <c r="K118" s="922"/>
      <c r="L118" s="922"/>
      <c r="M118" s="923"/>
    </row>
    <row r="119" spans="1:13" ht="16" thickBot="1"/>
    <row r="120" spans="1:13" ht="16" thickBot="1">
      <c r="A120" s="1145" t="s">
        <v>556</v>
      </c>
      <c r="B120" s="1146"/>
      <c r="C120" s="1146"/>
      <c r="D120" s="1146"/>
      <c r="E120" s="1146"/>
      <c r="F120" s="1146"/>
      <c r="G120" s="1146"/>
      <c r="H120" s="1146"/>
      <c r="I120" s="1146"/>
      <c r="J120" s="1146"/>
      <c r="K120" s="1146"/>
      <c r="L120" s="1146"/>
      <c r="M120" s="1147"/>
    </row>
    <row r="121" spans="1:13">
      <c r="A121" s="924"/>
      <c r="B121" s="925"/>
      <c r="C121" s="926"/>
      <c r="D121" s="925"/>
      <c r="E121" s="926"/>
      <c r="F121" s="927"/>
      <c r="G121" s="928"/>
      <c r="H121" s="929"/>
      <c r="I121" s="928"/>
      <c r="J121" s="929"/>
      <c r="K121" s="929"/>
      <c r="L121" s="928"/>
      <c r="M121" s="930"/>
    </row>
    <row r="122" spans="1:13">
      <c r="A122" s="924" t="s">
        <v>874</v>
      </c>
      <c r="B122" s="925"/>
      <c r="C122" s="926"/>
      <c r="D122" s="925"/>
      <c r="E122" s="926"/>
      <c r="F122" s="927"/>
      <c r="G122" s="928"/>
      <c r="H122" s="929"/>
      <c r="I122" s="928"/>
      <c r="J122" s="929"/>
      <c r="K122" s="929"/>
      <c r="L122" s="928"/>
      <c r="M122" s="930"/>
    </row>
    <row r="123" spans="1:13">
      <c r="A123" s="924" t="s">
        <v>876</v>
      </c>
      <c r="B123" s="925"/>
      <c r="C123" s="931"/>
      <c r="D123" s="925"/>
      <c r="E123" s="932"/>
      <c r="F123" s="927"/>
      <c r="G123" s="928"/>
      <c r="H123" s="929"/>
      <c r="I123" s="928"/>
      <c r="J123" s="933"/>
      <c r="K123" s="929"/>
      <c r="L123" s="928"/>
      <c r="M123" s="930"/>
    </row>
    <row r="124" spans="1:13" ht="16" thickBot="1">
      <c r="A124" s="924"/>
      <c r="B124" s="925"/>
      <c r="C124" s="926"/>
      <c r="D124" s="925"/>
      <c r="E124" s="926"/>
      <c r="F124" s="927"/>
      <c r="G124" s="928"/>
      <c r="H124" s="929"/>
      <c r="I124" s="928"/>
      <c r="J124" s="929"/>
      <c r="K124" s="929"/>
      <c r="L124" s="928"/>
      <c r="M124" s="930"/>
    </row>
    <row r="125" spans="1:13" ht="16" thickBot="1">
      <c r="A125" s="1145" t="s">
        <v>877</v>
      </c>
      <c r="B125" s="1146"/>
      <c r="C125" s="1146"/>
      <c r="D125" s="1146"/>
      <c r="E125" s="1146"/>
      <c r="F125" s="1146"/>
      <c r="G125" s="1146"/>
      <c r="H125" s="1146"/>
      <c r="I125" s="1146"/>
      <c r="J125" s="1146"/>
      <c r="K125" s="1146"/>
      <c r="L125" s="1146"/>
      <c r="M125" s="1147"/>
    </row>
    <row r="126" spans="1:13">
      <c r="A126" s="934" t="s">
        <v>878</v>
      </c>
      <c r="B126" s="935"/>
      <c r="C126" s="935" t="s">
        <v>879</v>
      </c>
      <c r="D126" s="935"/>
      <c r="E126" s="935" t="s">
        <v>880</v>
      </c>
      <c r="F126" s="936"/>
      <c r="G126" s="937" t="s">
        <v>881</v>
      </c>
      <c r="H126" s="938"/>
      <c r="I126" s="937" t="s">
        <v>515</v>
      </c>
      <c r="J126" s="938"/>
      <c r="K126" s="938" t="s">
        <v>516</v>
      </c>
      <c r="L126" s="937"/>
      <c r="M126" s="939" t="s">
        <v>517</v>
      </c>
    </row>
    <row r="127" spans="1:13">
      <c r="A127" s="924" t="s">
        <v>169</v>
      </c>
      <c r="B127" s="940"/>
      <c r="C127" s="941" t="s">
        <v>882</v>
      </c>
      <c r="D127" s="941"/>
      <c r="E127" s="942"/>
      <c r="F127" s="943"/>
      <c r="G127" s="944"/>
      <c r="H127" s="945"/>
      <c r="I127" s="944"/>
      <c r="J127" s="944"/>
      <c r="K127" s="944"/>
      <c r="L127" s="944"/>
      <c r="M127" s="946"/>
    </row>
    <row r="128" spans="1:13">
      <c r="A128" s="924" t="s">
        <v>883</v>
      </c>
      <c r="B128" s="940"/>
      <c r="C128" s="941" t="s">
        <v>884</v>
      </c>
      <c r="D128" s="941"/>
      <c r="E128" s="942"/>
      <c r="F128" s="943"/>
      <c r="G128" s="944"/>
      <c r="H128" s="944"/>
      <c r="I128" s="944"/>
      <c r="J128" s="944"/>
      <c r="K128" s="944"/>
      <c r="L128" s="944"/>
      <c r="M128" s="947"/>
    </row>
    <row r="129" spans="1:13">
      <c r="A129" s="924" t="s">
        <v>885</v>
      </c>
      <c r="B129" s="940"/>
      <c r="C129" s="941" t="s">
        <v>884</v>
      </c>
      <c r="D129" s="941"/>
      <c r="E129" s="942"/>
      <c r="F129" s="943"/>
      <c r="G129" s="944"/>
      <c r="H129" s="944"/>
      <c r="I129" s="944"/>
      <c r="J129" s="944"/>
      <c r="K129" s="944"/>
      <c r="L129" s="944"/>
      <c r="M129" s="947"/>
    </row>
    <row r="130" spans="1:13">
      <c r="A130" s="924" t="s">
        <v>886</v>
      </c>
      <c r="B130" s="940"/>
      <c r="C130" s="941" t="s">
        <v>884</v>
      </c>
      <c r="D130" s="941"/>
      <c r="E130" s="942"/>
      <c r="F130" s="943"/>
      <c r="G130" s="944"/>
      <c r="H130" s="944"/>
      <c r="I130" s="944"/>
      <c r="J130" s="944"/>
      <c r="K130" s="944"/>
      <c r="L130" s="944"/>
      <c r="M130" s="947"/>
    </row>
    <row r="131" spans="1:13" ht="16" thickBot="1">
      <c r="A131" s="948" t="s">
        <v>992</v>
      </c>
      <c r="B131" s="949"/>
      <c r="C131" s="950" t="s">
        <v>884</v>
      </c>
      <c r="D131" s="950"/>
      <c r="E131" s="951"/>
      <c r="F131" s="952"/>
      <c r="G131" s="953"/>
      <c r="H131" s="953"/>
      <c r="I131" s="953"/>
      <c r="J131" s="953"/>
      <c r="K131" s="953"/>
      <c r="L131" s="953"/>
      <c r="M131" s="954"/>
    </row>
  </sheetData>
  <mergeCells count="19">
    <mergeCell ref="A1:M1"/>
    <mergeCell ref="A16:M16"/>
    <mergeCell ref="A47:M47"/>
    <mergeCell ref="A55:M55"/>
    <mergeCell ref="A34:M34"/>
    <mergeCell ref="A42:M42"/>
    <mergeCell ref="A21:M21"/>
    <mergeCell ref="A29:M29"/>
    <mergeCell ref="A86:M86"/>
    <mergeCell ref="A94:M94"/>
    <mergeCell ref="A73:M73"/>
    <mergeCell ref="A81:M81"/>
    <mergeCell ref="A60:M60"/>
    <mergeCell ref="A68:M68"/>
    <mergeCell ref="A125:M125"/>
    <mergeCell ref="A112:M112"/>
    <mergeCell ref="A120:M120"/>
    <mergeCell ref="A99:M99"/>
    <mergeCell ref="A107:M107"/>
  </mergeCells>
  <pageMargins left="0.7" right="0.7" top="0.75" bottom="0.75" header="0.3" footer="0.3"/>
  <pageSetup orientation="portrait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63D2-C094-4A44-8842-DA5947243DFB}">
  <dimension ref="A2:BP106"/>
  <sheetViews>
    <sheetView topLeftCell="A70" zoomScaleNormal="100" workbookViewId="0">
      <selection activeCell="AC102" sqref="AC102"/>
    </sheetView>
  </sheetViews>
  <sheetFormatPr baseColWidth="10" defaultColWidth="9.1640625" defaultRowHeight="15"/>
  <cols>
    <col min="1" max="1" width="33.83203125" style="669" bestFit="1" customWidth="1"/>
    <col min="2" max="2" width="18.83203125" style="669" bestFit="1" customWidth="1"/>
    <col min="3" max="3" width="15" style="669" bestFit="1" customWidth="1"/>
    <col min="4" max="4" width="14.5" style="669" bestFit="1" customWidth="1"/>
    <col min="5" max="5" width="8.33203125" style="669" bestFit="1" customWidth="1"/>
    <col min="6" max="6" width="24.6640625" style="669" bestFit="1" customWidth="1"/>
    <col min="7" max="7" width="18.83203125" style="669" bestFit="1" customWidth="1"/>
    <col min="8" max="8" width="15" style="669" bestFit="1" customWidth="1"/>
    <col min="9" max="9" width="16.6640625" style="669" bestFit="1" customWidth="1"/>
    <col min="10" max="10" width="12.6640625" style="669" bestFit="1" customWidth="1"/>
    <col min="11" max="11" width="22.5" style="669" bestFit="1" customWidth="1"/>
    <col min="12" max="12" width="17.1640625" style="669" bestFit="1" customWidth="1"/>
    <col min="13" max="13" width="16.83203125" style="669" bestFit="1" customWidth="1"/>
    <col min="14" max="14" width="18.6640625" style="669" bestFit="1" customWidth="1"/>
    <col min="15" max="15" width="11.1640625" style="669" bestFit="1" customWidth="1"/>
    <col min="16" max="16" width="22.33203125" style="669" bestFit="1" customWidth="1"/>
    <col min="17" max="17" width="12.83203125" style="669" bestFit="1" customWidth="1"/>
    <col min="18" max="18" width="18.83203125" style="669" bestFit="1" customWidth="1"/>
    <col min="19" max="19" width="14.33203125" style="669" bestFit="1" customWidth="1"/>
    <col min="20" max="20" width="10.33203125" style="669" bestFit="1" customWidth="1"/>
    <col min="21" max="21" width="24.6640625" style="669" bestFit="1" customWidth="1"/>
    <col min="22" max="22" width="18.83203125" style="669" bestFit="1" customWidth="1"/>
    <col min="23" max="23" width="15.33203125" style="669" bestFit="1" customWidth="1"/>
    <col min="24" max="24" width="14.33203125" style="669" bestFit="1" customWidth="1"/>
    <col min="25" max="25" width="11.1640625" style="669" bestFit="1" customWidth="1"/>
    <col min="26" max="26" width="24.6640625" style="669" bestFit="1" customWidth="1"/>
    <col min="27" max="27" width="17.83203125" style="669" bestFit="1" customWidth="1"/>
    <col min="28" max="28" width="15.33203125" style="669" bestFit="1" customWidth="1"/>
    <col min="29" max="29" width="14.33203125" style="669" bestFit="1" customWidth="1"/>
    <col min="30" max="30" width="10.33203125" style="669" bestFit="1" customWidth="1"/>
    <col min="31" max="31" width="24.6640625" style="669" bestFit="1" customWidth="1"/>
    <col min="32" max="32" width="17.5" style="669" bestFit="1" customWidth="1"/>
    <col min="33" max="33" width="15.33203125" style="669" bestFit="1" customWidth="1"/>
    <col min="34" max="34" width="14.33203125" style="669" bestFit="1" customWidth="1"/>
    <col min="35" max="35" width="10.1640625" style="669" bestFit="1" customWidth="1"/>
    <col min="36" max="36" width="21.5" style="669" bestFit="1" customWidth="1"/>
    <col min="37" max="37" width="15.33203125" style="669" bestFit="1" customWidth="1"/>
    <col min="38" max="39" width="14.6640625" style="669" bestFit="1" customWidth="1"/>
    <col min="40" max="40" width="8.5" style="669" bestFit="1" customWidth="1"/>
    <col min="41" max="41" width="21.5" style="669" bestFit="1" customWidth="1"/>
    <col min="42" max="42" width="14.83203125" style="669" bestFit="1" customWidth="1"/>
    <col min="43" max="44" width="13.6640625" style="669" bestFit="1" customWidth="1"/>
    <col min="45" max="45" width="10.1640625" style="669" bestFit="1" customWidth="1"/>
    <col min="46" max="47" width="9.1640625" style="669"/>
    <col min="48" max="48" width="10.1640625" style="669" bestFit="1" customWidth="1"/>
    <col min="49" max="50" width="9.1640625" style="669"/>
    <col min="51" max="51" width="11.1640625" style="669" bestFit="1" customWidth="1"/>
    <col min="52" max="53" width="9.1640625" style="669"/>
    <col min="54" max="54" width="11.83203125" style="669" bestFit="1" customWidth="1"/>
    <col min="55" max="60" width="9.1640625" style="669"/>
    <col min="61" max="61" width="10.1640625" style="669" bestFit="1" customWidth="1"/>
    <col min="62" max="63" width="9.1640625" style="669"/>
    <col min="64" max="64" width="11.1640625" style="669" bestFit="1" customWidth="1"/>
    <col min="65" max="66" width="9.1640625" style="669"/>
    <col min="67" max="67" width="11.1640625" style="669" bestFit="1" customWidth="1"/>
    <col min="68" max="68" width="13.6640625" style="669" bestFit="1" customWidth="1"/>
    <col min="69" max="16384" width="9.1640625" style="669"/>
  </cols>
  <sheetData>
    <row r="2" spans="1:44" ht="16" thickBot="1">
      <c r="A2" s="667" t="s">
        <v>745</v>
      </c>
      <c r="B2" s="668"/>
      <c r="C2" s="668"/>
      <c r="D2" s="975"/>
      <c r="E2" s="668"/>
      <c r="F2" s="667" t="s">
        <v>745</v>
      </c>
      <c r="G2" s="668"/>
      <c r="H2" s="668"/>
      <c r="I2" s="668"/>
      <c r="J2" s="668"/>
      <c r="K2" s="667" t="s">
        <v>745</v>
      </c>
      <c r="L2" s="668"/>
      <c r="M2" s="668"/>
      <c r="N2" s="668"/>
      <c r="O2" s="668"/>
      <c r="P2" s="667" t="s">
        <v>745</v>
      </c>
      <c r="Q2" s="668"/>
      <c r="R2" s="668"/>
      <c r="S2" s="668"/>
      <c r="U2" s="667" t="s">
        <v>745</v>
      </c>
      <c r="V2" s="668"/>
      <c r="W2" s="668"/>
      <c r="X2" s="668"/>
      <c r="Z2" s="667" t="s">
        <v>745</v>
      </c>
      <c r="AA2" s="668"/>
      <c r="AB2" s="668"/>
      <c r="AC2" s="668"/>
      <c r="AE2" s="667" t="s">
        <v>745</v>
      </c>
      <c r="AF2" s="668"/>
      <c r="AG2" s="668"/>
      <c r="AH2" s="668"/>
      <c r="AJ2" s="667" t="s">
        <v>745</v>
      </c>
      <c r="AK2" s="668"/>
      <c r="AL2" s="668"/>
      <c r="AM2" s="668"/>
      <c r="AO2" s="667" t="s">
        <v>745</v>
      </c>
      <c r="AP2" s="668"/>
      <c r="AQ2" s="668"/>
      <c r="AR2" s="668"/>
    </row>
    <row r="3" spans="1:44" ht="34.5" customHeight="1" thickBot="1">
      <c r="A3" s="670" t="str">
        <f>'CB Inputs'!C18</f>
        <v>2027 CareBears - ROOT</v>
      </c>
      <c r="B3" s="671">
        <f>'CB Inputs'!C19</f>
        <v>46478</v>
      </c>
      <c r="C3" s="672" t="s">
        <v>747</v>
      </c>
      <c r="D3" s="668"/>
      <c r="E3" s="668"/>
      <c r="F3" s="673" t="str">
        <f>'CB Inputs'!C31</f>
        <v>2027 CareBears - FORGE</v>
      </c>
      <c r="G3" s="671">
        <f>'CB Inputs'!C32</f>
        <v>46661</v>
      </c>
      <c r="H3" s="672" t="s">
        <v>868</v>
      </c>
      <c r="I3" s="668"/>
      <c r="J3" s="668"/>
      <c r="K3" s="673" t="str">
        <f>'CB Inputs'!C44</f>
        <v>2028 CareBears - ROOT</v>
      </c>
      <c r="L3" s="671">
        <f>'CB Inputs'!C45</f>
        <v>46844</v>
      </c>
      <c r="M3" s="672" t="s">
        <v>869</v>
      </c>
      <c r="N3" s="668"/>
      <c r="O3" s="668"/>
      <c r="P3" s="673" t="str">
        <f>'CB Inputs'!C57</f>
        <v>2028 CareBears - ROOT</v>
      </c>
      <c r="Q3" s="671">
        <f>'CB Inputs'!C58</f>
        <v>47027</v>
      </c>
      <c r="R3" s="672" t="s">
        <v>747</v>
      </c>
      <c r="S3" s="668"/>
      <c r="U3" s="673" t="str">
        <f>'CB Inputs'!C70</f>
        <v>2029 CareBears - ROOT</v>
      </c>
      <c r="V3" s="671">
        <f>'CB Inputs'!C71</f>
        <v>47209</v>
      </c>
      <c r="W3" s="672" t="s">
        <v>747</v>
      </c>
      <c r="X3" s="668"/>
      <c r="Z3" s="673" t="str">
        <f>'CB Inputs'!C83</f>
        <v>2029 CareBears - ROOT</v>
      </c>
      <c r="AA3" s="671">
        <f>'CB Inputs'!C84</f>
        <v>47027</v>
      </c>
      <c r="AB3" s="672" t="s">
        <v>747</v>
      </c>
      <c r="AC3" s="668"/>
      <c r="AE3" s="673">
        <f>'CB Inputs'!C96</f>
        <v>0</v>
      </c>
      <c r="AF3" s="671">
        <f>'CB Inputs'!C97</f>
        <v>0</v>
      </c>
      <c r="AG3" s="672" t="s">
        <v>747</v>
      </c>
      <c r="AH3" s="668"/>
      <c r="AJ3" s="673">
        <f>'CB Inputs'!C109</f>
        <v>0</v>
      </c>
      <c r="AK3" s="671">
        <f>'CB Inputs'!C110</f>
        <v>0</v>
      </c>
      <c r="AL3" s="672" t="s">
        <v>747</v>
      </c>
      <c r="AM3" s="668"/>
      <c r="AO3" s="673">
        <f>'CB Inputs'!C122</f>
        <v>0</v>
      </c>
      <c r="AP3" s="671">
        <f>'CB Inputs'!C123</f>
        <v>0</v>
      </c>
      <c r="AQ3" s="672" t="s">
        <v>747</v>
      </c>
      <c r="AR3" s="668"/>
    </row>
    <row r="4" spans="1:44" ht="16" thickBot="1">
      <c r="A4" s="668"/>
      <c r="B4" s="668"/>
      <c r="C4" s="674" t="s">
        <v>754</v>
      </c>
      <c r="D4" s="675" t="s">
        <v>755</v>
      </c>
      <c r="E4" s="668"/>
      <c r="F4" s="668"/>
      <c r="G4" s="668"/>
      <c r="H4" s="674" t="s">
        <v>754</v>
      </c>
      <c r="I4" s="675" t="s">
        <v>755</v>
      </c>
      <c r="J4" s="668"/>
      <c r="K4" s="668"/>
      <c r="L4" s="668"/>
      <c r="M4" s="674" t="s">
        <v>754</v>
      </c>
      <c r="N4" s="675" t="s">
        <v>755</v>
      </c>
      <c r="O4" s="668"/>
      <c r="P4" s="668"/>
      <c r="Q4" s="668"/>
      <c r="R4" s="674" t="s">
        <v>754</v>
      </c>
      <c r="S4" s="675" t="s">
        <v>755</v>
      </c>
      <c r="T4" s="543"/>
      <c r="U4" s="668"/>
      <c r="V4" s="668"/>
      <c r="W4" s="674" t="s">
        <v>754</v>
      </c>
      <c r="X4" s="675" t="s">
        <v>755</v>
      </c>
      <c r="Z4" s="668"/>
      <c r="AA4" s="668"/>
      <c r="AB4" s="674" t="s">
        <v>754</v>
      </c>
      <c r="AC4" s="675" t="s">
        <v>755</v>
      </c>
      <c r="AE4" s="668"/>
      <c r="AF4" s="668"/>
      <c r="AG4" s="674" t="s">
        <v>754</v>
      </c>
      <c r="AH4" s="675" t="s">
        <v>755</v>
      </c>
      <c r="AJ4" s="668"/>
      <c r="AK4" s="668"/>
      <c r="AL4" s="674" t="s">
        <v>754</v>
      </c>
      <c r="AM4" s="675" t="s">
        <v>755</v>
      </c>
      <c r="AO4" s="668"/>
      <c r="AP4" s="668"/>
      <c r="AQ4" s="674" t="s">
        <v>754</v>
      </c>
      <c r="AR4" s="675" t="s">
        <v>755</v>
      </c>
    </row>
    <row r="5" spans="1:44" s="677" customFormat="1" ht="32" customHeight="1">
      <c r="A5" s="676" t="s">
        <v>756</v>
      </c>
      <c r="B5" s="1172" t="s">
        <v>18</v>
      </c>
      <c r="C5" s="1176">
        <f>'CB Inputs'!E23</f>
        <v>0</v>
      </c>
      <c r="D5" s="1178">
        <f>C5*B8</f>
        <v>0</v>
      </c>
      <c r="E5" s="1179"/>
      <c r="F5" s="676" t="s">
        <v>756</v>
      </c>
      <c r="G5" s="1172" t="s">
        <v>18</v>
      </c>
      <c r="H5" s="1176">
        <f>'CB Inputs'!E36</f>
        <v>199.99</v>
      </c>
      <c r="I5" s="1178">
        <f>H5*G8</f>
        <v>2399.88</v>
      </c>
      <c r="J5" s="1179"/>
      <c r="K5" s="676" t="s">
        <v>756</v>
      </c>
      <c r="L5" s="1172" t="s">
        <v>18</v>
      </c>
      <c r="M5" s="1176">
        <f>'CB Inputs'!E49</f>
        <v>0</v>
      </c>
      <c r="N5" s="1178">
        <f>M5*L8</f>
        <v>0</v>
      </c>
      <c r="O5" s="1180"/>
      <c r="P5" s="676" t="s">
        <v>756</v>
      </c>
      <c r="Q5" s="1172" t="s">
        <v>18</v>
      </c>
      <c r="R5" s="1176">
        <f>'CB Inputs'!E62</f>
        <v>0</v>
      </c>
      <c r="S5" s="1178">
        <f>R5*Q8</f>
        <v>0</v>
      </c>
      <c r="T5" s="545"/>
      <c r="U5" s="676" t="s">
        <v>756</v>
      </c>
      <c r="V5" s="1172" t="s">
        <v>18</v>
      </c>
      <c r="W5" s="1176">
        <f>'CB Inputs'!E75</f>
        <v>0</v>
      </c>
      <c r="X5" s="1178">
        <f>W5*V8</f>
        <v>0</v>
      </c>
      <c r="Z5" s="676" t="s">
        <v>756</v>
      </c>
      <c r="AA5" s="1172" t="s">
        <v>18</v>
      </c>
      <c r="AB5" s="1176">
        <f>'CB Inputs'!E88</f>
        <v>0</v>
      </c>
      <c r="AC5" s="1178">
        <f>AB5*AA8</f>
        <v>0</v>
      </c>
      <c r="AE5" s="676" t="s">
        <v>756</v>
      </c>
      <c r="AF5" s="1172" t="s">
        <v>18</v>
      </c>
      <c r="AG5" s="1176">
        <f>'CB Inputs'!E101</f>
        <v>0</v>
      </c>
      <c r="AH5" s="1178">
        <f>AG5*AF8</f>
        <v>0</v>
      </c>
      <c r="AJ5" s="676" t="s">
        <v>756</v>
      </c>
      <c r="AK5" s="1172" t="s">
        <v>18</v>
      </c>
      <c r="AL5" s="1176">
        <f>'CB Inputs'!E114</f>
        <v>0</v>
      </c>
      <c r="AM5" s="1178">
        <f>AL5*AK8</f>
        <v>0</v>
      </c>
      <c r="AO5" s="676" t="s">
        <v>756</v>
      </c>
      <c r="AP5" s="1172" t="s">
        <v>18</v>
      </c>
      <c r="AQ5" s="1176">
        <f>'CB Inputs'!E127</f>
        <v>0</v>
      </c>
      <c r="AR5" s="1178">
        <f>AQ5*AP8</f>
        <v>0</v>
      </c>
    </row>
    <row r="6" spans="1:44" s="677" customFormat="1" ht="16" thickBot="1">
      <c r="A6" s="678" t="s">
        <v>757</v>
      </c>
      <c r="B6" s="1173"/>
      <c r="C6" s="1177"/>
      <c r="D6" s="1175"/>
      <c r="E6" s="1179"/>
      <c r="F6" s="678" t="s">
        <v>757</v>
      </c>
      <c r="G6" s="1173"/>
      <c r="H6" s="1177"/>
      <c r="I6" s="1175"/>
      <c r="J6" s="1179"/>
      <c r="K6" s="678" t="s">
        <v>757</v>
      </c>
      <c r="L6" s="1173"/>
      <c r="M6" s="1177"/>
      <c r="N6" s="1175"/>
      <c r="O6" s="1180"/>
      <c r="P6" s="678" t="s">
        <v>757</v>
      </c>
      <c r="Q6" s="1173"/>
      <c r="R6" s="1177"/>
      <c r="S6" s="1175"/>
      <c r="T6" s="545"/>
      <c r="U6" s="678" t="s">
        <v>757</v>
      </c>
      <c r="V6" s="1173"/>
      <c r="W6" s="1177"/>
      <c r="X6" s="1175"/>
      <c r="Z6" s="678" t="s">
        <v>757</v>
      </c>
      <c r="AA6" s="1173"/>
      <c r="AB6" s="1177"/>
      <c r="AC6" s="1175"/>
      <c r="AE6" s="678" t="s">
        <v>757</v>
      </c>
      <c r="AF6" s="1173"/>
      <c r="AG6" s="1177"/>
      <c r="AH6" s="1175"/>
      <c r="AJ6" s="678" t="s">
        <v>757</v>
      </c>
      <c r="AK6" s="1173"/>
      <c r="AL6" s="1177"/>
      <c r="AM6" s="1175"/>
      <c r="AO6" s="678" t="s">
        <v>757</v>
      </c>
      <c r="AP6" s="1173"/>
      <c r="AQ6" s="1177"/>
      <c r="AR6" s="1175"/>
    </row>
    <row r="7" spans="1:44" ht="16" thickBot="1">
      <c r="A7" s="679" t="s">
        <v>758</v>
      </c>
      <c r="B7" s="680">
        <f>'CB Inputs'!G23</f>
        <v>0</v>
      </c>
      <c r="C7" s="681"/>
      <c r="D7" s="681"/>
      <c r="E7" s="668"/>
      <c r="F7" s="679" t="s">
        <v>758</v>
      </c>
      <c r="G7" s="680">
        <f>'CB Inputs'!G36</f>
        <v>500</v>
      </c>
      <c r="H7" s="681"/>
      <c r="I7" s="681"/>
      <c r="J7" s="668"/>
      <c r="K7" s="679" t="s">
        <v>758</v>
      </c>
      <c r="L7" s="680">
        <f>'CB Inputs'!G49</f>
        <v>0</v>
      </c>
      <c r="M7" s="681"/>
      <c r="N7" s="681"/>
      <c r="O7" s="668"/>
      <c r="P7" s="679" t="s">
        <v>758</v>
      </c>
      <c r="Q7" s="680">
        <f>'CB Inputs'!G62</f>
        <v>0</v>
      </c>
      <c r="R7" s="681"/>
      <c r="S7" s="681"/>
      <c r="T7" s="551"/>
      <c r="U7" s="679" t="s">
        <v>758</v>
      </c>
      <c r="V7" s="680">
        <f>'CB Inputs'!G75</f>
        <v>0</v>
      </c>
      <c r="W7" s="681"/>
      <c r="X7" s="681"/>
      <c r="Z7" s="679" t="s">
        <v>758</v>
      </c>
      <c r="AA7" s="680">
        <f>'CB Inputs'!G88</f>
        <v>0</v>
      </c>
      <c r="AB7" s="681"/>
      <c r="AC7" s="681"/>
      <c r="AE7" s="679" t="s">
        <v>758</v>
      </c>
      <c r="AF7" s="680">
        <f>'CB Inputs'!G101</f>
        <v>0</v>
      </c>
      <c r="AG7" s="681"/>
      <c r="AH7" s="681"/>
      <c r="AJ7" s="679" t="s">
        <v>758</v>
      </c>
      <c r="AK7" s="680">
        <f>'CB Inputs'!G114</f>
        <v>0</v>
      </c>
      <c r="AL7" s="681"/>
      <c r="AM7" s="681"/>
      <c r="AO7" s="679" t="s">
        <v>758</v>
      </c>
      <c r="AP7" s="680">
        <f>'CB Inputs'!G127</f>
        <v>0</v>
      </c>
      <c r="AQ7" s="681"/>
      <c r="AR7" s="681"/>
    </row>
    <row r="8" spans="1:44" ht="17" thickBot="1">
      <c r="A8" s="682" t="s">
        <v>188</v>
      </c>
      <c r="B8" s="681">
        <f>'CB Inputs'!I23</f>
        <v>0</v>
      </c>
      <c r="C8" s="681"/>
      <c r="D8" s="683"/>
      <c r="E8" s="668"/>
      <c r="F8" s="682" t="s">
        <v>188</v>
      </c>
      <c r="G8" s="681">
        <f>'CB Inputs'!I36</f>
        <v>12</v>
      </c>
      <c r="H8" s="681"/>
      <c r="I8" s="683"/>
      <c r="J8" s="668"/>
      <c r="K8" s="682" t="s">
        <v>188</v>
      </c>
      <c r="L8" s="681">
        <f>'CB Inputs'!I49</f>
        <v>0</v>
      </c>
      <c r="M8" s="681"/>
      <c r="N8" s="683"/>
      <c r="O8" s="668"/>
      <c r="P8" s="682" t="s">
        <v>188</v>
      </c>
      <c r="Q8" s="681">
        <f>'CB Inputs'!I62</f>
        <v>0</v>
      </c>
      <c r="R8" s="681"/>
      <c r="S8" s="683"/>
      <c r="T8" s="551"/>
      <c r="U8" s="682" t="s">
        <v>188</v>
      </c>
      <c r="V8" s="681">
        <f>'CB Inputs'!I75</f>
        <v>0</v>
      </c>
      <c r="W8" s="681"/>
      <c r="X8" s="683"/>
      <c r="Z8" s="682" t="s">
        <v>188</v>
      </c>
      <c r="AA8" s="681">
        <f>'CB Inputs'!I88</f>
        <v>0</v>
      </c>
      <c r="AB8" s="681"/>
      <c r="AC8" s="683"/>
      <c r="AE8" s="682" t="s">
        <v>188</v>
      </c>
      <c r="AF8" s="681">
        <f>'CB Inputs'!I101</f>
        <v>0</v>
      </c>
      <c r="AG8" s="681"/>
      <c r="AH8" s="683"/>
      <c r="AJ8" s="682" t="s">
        <v>188</v>
      </c>
      <c r="AK8" s="681">
        <f>'CB Inputs'!I114</f>
        <v>0</v>
      </c>
      <c r="AL8" s="681"/>
      <c r="AM8" s="683"/>
      <c r="AO8" s="682" t="s">
        <v>188</v>
      </c>
      <c r="AP8" s="681">
        <f>'CB Inputs'!I127</f>
        <v>0</v>
      </c>
      <c r="AQ8" s="681"/>
      <c r="AR8" s="683"/>
    </row>
    <row r="9" spans="1:44" ht="16" thickBot="1">
      <c r="A9" s="679" t="s">
        <v>759</v>
      </c>
      <c r="B9" s="680">
        <f>B7*B8</f>
        <v>0</v>
      </c>
      <c r="C9" s="684"/>
      <c r="D9" s="685"/>
      <c r="E9" s="668"/>
      <c r="F9" s="679" t="s">
        <v>759</v>
      </c>
      <c r="G9" s="680">
        <f>G7*G8</f>
        <v>6000</v>
      </c>
      <c r="H9" s="684"/>
      <c r="I9" s="685"/>
      <c r="J9" s="668"/>
      <c r="K9" s="679" t="s">
        <v>759</v>
      </c>
      <c r="L9" s="680">
        <f>L7*L8</f>
        <v>0</v>
      </c>
      <c r="M9" s="684"/>
      <c r="N9" s="685"/>
      <c r="O9" s="668"/>
      <c r="P9" s="679" t="s">
        <v>759</v>
      </c>
      <c r="Q9" s="680">
        <f>Q7*Q8</f>
        <v>0</v>
      </c>
      <c r="R9" s="684"/>
      <c r="S9" s="685">
        <v>3599760</v>
      </c>
      <c r="T9" s="556"/>
      <c r="U9" s="679" t="s">
        <v>759</v>
      </c>
      <c r="V9" s="680">
        <f>V7*V8</f>
        <v>0</v>
      </c>
      <c r="W9" s="684"/>
      <c r="X9" s="685"/>
      <c r="Z9" s="679" t="s">
        <v>759</v>
      </c>
      <c r="AA9" s="680">
        <f>AA7*AA8</f>
        <v>0</v>
      </c>
      <c r="AB9" s="684"/>
      <c r="AC9" s="685"/>
      <c r="AE9" s="679" t="s">
        <v>759</v>
      </c>
      <c r="AF9" s="680">
        <f>AF7*AF8</f>
        <v>0</v>
      </c>
      <c r="AG9" s="684"/>
      <c r="AH9" s="685"/>
      <c r="AJ9" s="679" t="s">
        <v>759</v>
      </c>
      <c r="AK9" s="680">
        <f>AK7*AK8</f>
        <v>0</v>
      </c>
      <c r="AL9" s="684"/>
      <c r="AM9" s="685"/>
      <c r="AO9" s="679" t="s">
        <v>759</v>
      </c>
      <c r="AP9" s="680">
        <f>AP7*AP8</f>
        <v>0</v>
      </c>
      <c r="AQ9" s="684"/>
      <c r="AR9" s="685"/>
    </row>
    <row r="10" spans="1:44" ht="16" thickBot="1">
      <c r="A10" s="679" t="s">
        <v>192</v>
      </c>
      <c r="B10" s="681">
        <f>'CB Inputs'!K23</f>
        <v>0</v>
      </c>
      <c r="C10" s="684"/>
      <c r="D10" s="686"/>
      <c r="E10" s="668"/>
      <c r="F10" s="679" t="s">
        <v>192</v>
      </c>
      <c r="G10" s="681">
        <f>'CB Inputs'!K36</f>
        <v>12</v>
      </c>
      <c r="H10" s="684"/>
      <c r="I10" s="686"/>
      <c r="J10" s="668"/>
      <c r="K10" s="679" t="s">
        <v>192</v>
      </c>
      <c r="L10" s="681">
        <f>'CB Inputs'!K49</f>
        <v>0</v>
      </c>
      <c r="M10" s="684"/>
      <c r="N10" s="686"/>
      <c r="O10" s="668"/>
      <c r="P10" s="679" t="s">
        <v>192</v>
      </c>
      <c r="Q10" s="681">
        <f>'CB Inputs'!K62</f>
        <v>0</v>
      </c>
      <c r="R10" s="684"/>
      <c r="S10" s="686" t="s">
        <v>760</v>
      </c>
      <c r="T10" s="558"/>
      <c r="U10" s="679" t="s">
        <v>192</v>
      </c>
      <c r="V10" s="681">
        <f>'CB Inputs'!K75</f>
        <v>0</v>
      </c>
      <c r="W10" s="684"/>
      <c r="X10" s="686"/>
      <c r="Z10" s="679" t="s">
        <v>192</v>
      </c>
      <c r="AA10" s="681">
        <f>'CB Inputs'!K88</f>
        <v>0</v>
      </c>
      <c r="AB10" s="684"/>
      <c r="AC10" s="686"/>
      <c r="AE10" s="679" t="s">
        <v>192</v>
      </c>
      <c r="AF10" s="681">
        <f>'CB Inputs'!K101</f>
        <v>0</v>
      </c>
      <c r="AG10" s="684"/>
      <c r="AH10" s="686"/>
      <c r="AJ10" s="679" t="s">
        <v>192</v>
      </c>
      <c r="AK10" s="681">
        <f>'CB Inputs'!K114</f>
        <v>0</v>
      </c>
      <c r="AL10" s="684"/>
      <c r="AM10" s="686"/>
      <c r="AO10" s="679" t="s">
        <v>192</v>
      </c>
      <c r="AP10" s="681">
        <f>'CB Inputs'!K127</f>
        <v>0</v>
      </c>
      <c r="AQ10" s="684"/>
      <c r="AR10" s="686"/>
    </row>
    <row r="11" spans="1:44" ht="16" thickBot="1">
      <c r="A11" s="687" t="s">
        <v>195</v>
      </c>
      <c r="B11" s="681">
        <f>'CB Inputs'!M23</f>
        <v>0</v>
      </c>
      <c r="C11" s="681"/>
      <c r="D11" s="681"/>
      <c r="E11" s="668"/>
      <c r="F11" s="687" t="s">
        <v>195</v>
      </c>
      <c r="G11" s="681">
        <f>'CB Inputs'!M36</f>
        <v>5</v>
      </c>
      <c r="H11" s="681"/>
      <c r="I11" s="681"/>
      <c r="J11" s="668"/>
      <c r="K11" s="687" t="s">
        <v>195</v>
      </c>
      <c r="L11" s="681">
        <f>'CB Inputs'!M49</f>
        <v>0</v>
      </c>
      <c r="M11" s="681"/>
      <c r="N11" s="681"/>
      <c r="O11" s="668"/>
      <c r="P11" s="687" t="s">
        <v>195</v>
      </c>
      <c r="Q11" s="681">
        <f>'CB Inputs'!M62</f>
        <v>0</v>
      </c>
      <c r="R11" s="681"/>
      <c r="S11" s="681"/>
      <c r="T11" s="558"/>
      <c r="U11" s="687" t="s">
        <v>195</v>
      </c>
      <c r="V11" s="681">
        <f>'CB Inputs'!M75</f>
        <v>0</v>
      </c>
      <c r="W11" s="681"/>
      <c r="X11" s="681"/>
      <c r="Z11" s="687" t="s">
        <v>195</v>
      </c>
      <c r="AA11" s="681">
        <f>'CB Inputs'!M88</f>
        <v>0</v>
      </c>
      <c r="AB11" s="681"/>
      <c r="AC11" s="681"/>
      <c r="AE11" s="687" t="s">
        <v>195</v>
      </c>
      <c r="AF11" s="681">
        <f>'CB Inputs'!M101</f>
        <v>0</v>
      </c>
      <c r="AG11" s="681"/>
      <c r="AH11" s="681"/>
      <c r="AJ11" s="687" t="s">
        <v>195</v>
      </c>
      <c r="AK11" s="681">
        <f>'CB Inputs'!M114</f>
        <v>0</v>
      </c>
      <c r="AL11" s="681"/>
      <c r="AM11" s="681"/>
      <c r="AO11" s="687" t="s">
        <v>195</v>
      </c>
      <c r="AP11" s="681">
        <f>'CB Inputs'!M127</f>
        <v>0</v>
      </c>
      <c r="AQ11" s="681"/>
      <c r="AR11" s="681"/>
    </row>
    <row r="12" spans="1:44" ht="16" thickBot="1">
      <c r="A12" s="679" t="s">
        <v>761</v>
      </c>
      <c r="B12" s="680">
        <f>B9*B10</f>
        <v>0</v>
      </c>
      <c r="C12" s="681"/>
      <c r="D12" s="681"/>
      <c r="E12" s="668"/>
      <c r="F12" s="679" t="s">
        <v>761</v>
      </c>
      <c r="G12" s="680">
        <f>G9*G10</f>
        <v>72000</v>
      </c>
      <c r="H12" s="681"/>
      <c r="I12" s="681"/>
      <c r="J12" s="668"/>
      <c r="K12" s="679" t="s">
        <v>761</v>
      </c>
      <c r="L12" s="680">
        <f>L9*L10</f>
        <v>0</v>
      </c>
      <c r="M12" s="681"/>
      <c r="N12" s="681"/>
      <c r="O12" s="668"/>
      <c r="P12" s="679" t="s">
        <v>761</v>
      </c>
      <c r="Q12" s="680">
        <f>Q9*Q10</f>
        <v>0</v>
      </c>
      <c r="R12" s="681"/>
      <c r="S12" s="681"/>
      <c r="T12" s="551"/>
      <c r="U12" s="679" t="s">
        <v>761</v>
      </c>
      <c r="V12" s="680">
        <f>V9*V10</f>
        <v>0</v>
      </c>
      <c r="W12" s="681"/>
      <c r="X12" s="681"/>
      <c r="Z12" s="679" t="s">
        <v>761</v>
      </c>
      <c r="AA12" s="680">
        <f>AA9*AA10</f>
        <v>0</v>
      </c>
      <c r="AB12" s="681"/>
      <c r="AC12" s="681"/>
      <c r="AE12" s="679" t="s">
        <v>761</v>
      </c>
      <c r="AF12" s="680">
        <f>AF9*AF10</f>
        <v>0</v>
      </c>
      <c r="AG12" s="681"/>
      <c r="AH12" s="681"/>
      <c r="AJ12" s="679" t="s">
        <v>761</v>
      </c>
      <c r="AK12" s="680">
        <f>AK9*AK10</f>
        <v>0</v>
      </c>
      <c r="AL12" s="681"/>
      <c r="AM12" s="681"/>
      <c r="AO12" s="679" t="s">
        <v>761</v>
      </c>
      <c r="AP12" s="680">
        <f>AP9*AP10</f>
        <v>0</v>
      </c>
      <c r="AQ12" s="681"/>
      <c r="AR12" s="681"/>
    </row>
    <row r="13" spans="1:44" ht="16" thickBot="1">
      <c r="A13" s="679" t="s">
        <v>762</v>
      </c>
      <c r="B13" s="680">
        <f>B12*B11</f>
        <v>0</v>
      </c>
      <c r="C13" s="681"/>
      <c r="D13" s="681"/>
      <c r="E13" s="668"/>
      <c r="F13" s="679" t="s">
        <v>762</v>
      </c>
      <c r="G13" s="680">
        <f>G12*G11</f>
        <v>360000</v>
      </c>
      <c r="H13" s="681"/>
      <c r="I13" s="681"/>
      <c r="J13" s="668"/>
      <c r="K13" s="679" t="s">
        <v>762</v>
      </c>
      <c r="L13" s="680">
        <f>L12*L11</f>
        <v>0</v>
      </c>
      <c r="M13" s="681"/>
      <c r="N13" s="681"/>
      <c r="O13" s="668"/>
      <c r="P13" s="679" t="s">
        <v>762</v>
      </c>
      <c r="Q13" s="680">
        <f>Q12*Q11</f>
        <v>0</v>
      </c>
      <c r="R13" s="681"/>
      <c r="S13" s="681"/>
      <c r="T13" s="560"/>
      <c r="U13" s="679" t="s">
        <v>762</v>
      </c>
      <c r="V13" s="680">
        <f>V12*V11</f>
        <v>0</v>
      </c>
      <c r="W13" s="681"/>
      <c r="X13" s="681"/>
      <c r="Z13" s="679" t="s">
        <v>762</v>
      </c>
      <c r="AA13" s="680">
        <f>AA12*AA11</f>
        <v>0</v>
      </c>
      <c r="AB13" s="681"/>
      <c r="AC13" s="681"/>
      <c r="AE13" s="679" t="s">
        <v>762</v>
      </c>
      <c r="AF13" s="680">
        <f>AF12*AF11</f>
        <v>0</v>
      </c>
      <c r="AG13" s="681"/>
      <c r="AH13" s="681"/>
      <c r="AJ13" s="679" t="s">
        <v>762</v>
      </c>
      <c r="AK13" s="680">
        <f>AK12*AK11</f>
        <v>0</v>
      </c>
      <c r="AL13" s="681"/>
      <c r="AM13" s="681"/>
      <c r="AO13" s="679" t="s">
        <v>762</v>
      </c>
      <c r="AP13" s="680">
        <f>AP12*AP11</f>
        <v>0</v>
      </c>
      <c r="AQ13" s="681"/>
      <c r="AR13" s="681"/>
    </row>
    <row r="14" spans="1:44" ht="16" thickBot="1">
      <c r="A14" s="679" t="s">
        <v>763</v>
      </c>
      <c r="B14" s="688" t="e">
        <f>C18/B13</f>
        <v>#DIV/0!</v>
      </c>
      <c r="C14" s="681"/>
      <c r="D14" s="689"/>
      <c r="E14" s="668"/>
      <c r="F14" s="679" t="s">
        <v>763</v>
      </c>
      <c r="G14" s="688">
        <f>H18/G13</f>
        <v>1.9999027777777778</v>
      </c>
      <c r="H14" s="681"/>
      <c r="I14" s="689"/>
      <c r="J14" s="668"/>
      <c r="K14" s="679" t="s">
        <v>763</v>
      </c>
      <c r="L14" s="688" t="e">
        <f>M18/L13</f>
        <v>#DIV/0!</v>
      </c>
      <c r="M14" s="681"/>
      <c r="N14" s="689"/>
      <c r="O14" s="668"/>
      <c r="P14" s="679" t="s">
        <v>763</v>
      </c>
      <c r="Q14" s="688" t="e">
        <f>R18/Q13</f>
        <v>#DIV/0!</v>
      </c>
      <c r="R14" s="681"/>
      <c r="S14" s="689">
        <v>2.08</v>
      </c>
      <c r="T14" s="551"/>
      <c r="U14" s="679" t="s">
        <v>763</v>
      </c>
      <c r="V14" s="688" t="e">
        <f>W18/V13</f>
        <v>#DIV/0!</v>
      </c>
      <c r="W14" s="681"/>
      <c r="X14" s="689"/>
      <c r="Z14" s="679" t="s">
        <v>763</v>
      </c>
      <c r="AA14" s="688" t="e">
        <f>AB18/AA13</f>
        <v>#DIV/0!</v>
      </c>
      <c r="AB14" s="681"/>
      <c r="AC14" s="689"/>
      <c r="AE14" s="679" t="s">
        <v>763</v>
      </c>
      <c r="AF14" s="688" t="e">
        <f>AG18/AF13</f>
        <v>#DIV/0!</v>
      </c>
      <c r="AG14" s="681"/>
      <c r="AH14" s="689"/>
      <c r="AJ14" s="679" t="s">
        <v>763</v>
      </c>
      <c r="AK14" s="688" t="e">
        <f>AL18/AK13</f>
        <v>#DIV/0!</v>
      </c>
      <c r="AL14" s="681"/>
      <c r="AM14" s="689"/>
      <c r="AO14" s="679" t="s">
        <v>763</v>
      </c>
      <c r="AP14" s="688" t="e">
        <f>AQ18/AP13</f>
        <v>#DIV/0!</v>
      </c>
      <c r="AQ14" s="681"/>
      <c r="AR14" s="689"/>
    </row>
    <row r="15" spans="1:44" ht="16" thickBot="1">
      <c r="A15" s="690"/>
      <c r="B15" s="691" t="s">
        <v>250</v>
      </c>
      <c r="C15" s="691" t="s">
        <v>764</v>
      </c>
      <c r="D15" s="691" t="s">
        <v>18</v>
      </c>
      <c r="E15" s="668"/>
      <c r="F15" s="690"/>
      <c r="G15" s="691" t="s">
        <v>250</v>
      </c>
      <c r="H15" s="691" t="s">
        <v>764</v>
      </c>
      <c r="I15" s="691" t="s">
        <v>18</v>
      </c>
      <c r="J15" s="668"/>
      <c r="K15" s="690"/>
      <c r="L15" s="691" t="s">
        <v>250</v>
      </c>
      <c r="M15" s="691" t="s">
        <v>764</v>
      </c>
      <c r="N15" s="691" t="s">
        <v>18</v>
      </c>
      <c r="O15" s="668"/>
      <c r="P15" s="690"/>
      <c r="Q15" s="691" t="s">
        <v>250</v>
      </c>
      <c r="R15" s="691" t="s">
        <v>764</v>
      </c>
      <c r="S15" s="691" t="s">
        <v>18</v>
      </c>
      <c r="T15" s="551"/>
      <c r="U15" s="690"/>
      <c r="V15" s="691" t="s">
        <v>250</v>
      </c>
      <c r="W15" s="691" t="s">
        <v>764</v>
      </c>
      <c r="X15" s="691" t="s">
        <v>18</v>
      </c>
      <c r="Z15" s="690"/>
      <c r="AA15" s="691" t="s">
        <v>250</v>
      </c>
      <c r="AB15" s="691" t="s">
        <v>764</v>
      </c>
      <c r="AC15" s="691" t="s">
        <v>18</v>
      </c>
      <c r="AE15" s="690"/>
      <c r="AF15" s="691" t="s">
        <v>250</v>
      </c>
      <c r="AG15" s="691" t="s">
        <v>764</v>
      </c>
      <c r="AH15" s="691" t="s">
        <v>18</v>
      </c>
      <c r="AJ15" s="690"/>
      <c r="AK15" s="691" t="s">
        <v>250</v>
      </c>
      <c r="AL15" s="691" t="s">
        <v>764</v>
      </c>
      <c r="AM15" s="691" t="s">
        <v>18</v>
      </c>
      <c r="AO15" s="690"/>
      <c r="AP15" s="691" t="s">
        <v>250</v>
      </c>
      <c r="AQ15" s="691" t="s">
        <v>764</v>
      </c>
      <c r="AR15" s="691" t="s">
        <v>18</v>
      </c>
    </row>
    <row r="16" spans="1:44" ht="16" thickBot="1">
      <c r="A16" s="692" t="s">
        <v>765</v>
      </c>
      <c r="B16" s="693">
        <f>ROUND(C16*$B$89,2)</f>
        <v>0</v>
      </c>
      <c r="C16" s="694">
        <f>ROUND(D16*'CB Inputs'!$G$10,2)</f>
        <v>0</v>
      </c>
      <c r="D16" s="694">
        <f>C5</f>
        <v>0</v>
      </c>
      <c r="E16" s="668"/>
      <c r="F16" s="692" t="s">
        <v>765</v>
      </c>
      <c r="G16" s="693">
        <f>ROUND(H16*$B$89,2)</f>
        <v>60</v>
      </c>
      <c r="H16" s="694">
        <f>ROUND(I16*'CB Inputs'!$G$10,2)</f>
        <v>119.99</v>
      </c>
      <c r="I16" s="694">
        <f>H5</f>
        <v>199.99</v>
      </c>
      <c r="J16" s="668"/>
      <c r="K16" s="692" t="s">
        <v>765</v>
      </c>
      <c r="L16" s="693">
        <f>ROUND(M16*$B$89,2)</f>
        <v>0</v>
      </c>
      <c r="M16" s="694">
        <f>ROUND(N16*'CB Inputs'!$G$10,2)</f>
        <v>0</v>
      </c>
      <c r="N16" s="694">
        <f>M5</f>
        <v>0</v>
      </c>
      <c r="O16" s="668"/>
      <c r="P16" s="692" t="s">
        <v>765</v>
      </c>
      <c r="Q16" s="693">
        <f>ROUND(R16*$B$89,2)</f>
        <v>0</v>
      </c>
      <c r="R16" s="694">
        <f>ROUND(S16*'CB Inputs'!$G$10,2)</f>
        <v>0</v>
      </c>
      <c r="S16" s="694">
        <f>R5</f>
        <v>0</v>
      </c>
      <c r="T16" s="551"/>
      <c r="U16" s="692" t="s">
        <v>765</v>
      </c>
      <c r="V16" s="693">
        <f>ROUND(W16*$B$89,2)</f>
        <v>0</v>
      </c>
      <c r="W16" s="694">
        <f>ROUND(X16*'CB Inputs'!$G$10,2)</f>
        <v>0</v>
      </c>
      <c r="X16" s="694">
        <f>W5</f>
        <v>0</v>
      </c>
      <c r="Z16" s="692" t="s">
        <v>765</v>
      </c>
      <c r="AA16" s="693">
        <f>ROUND(AB16*$B$89,2)</f>
        <v>0</v>
      </c>
      <c r="AB16" s="694">
        <f>ROUND(AC16*'CB Inputs'!$G$10,2)</f>
        <v>0</v>
      </c>
      <c r="AC16" s="694">
        <f>AB5</f>
        <v>0</v>
      </c>
      <c r="AE16" s="692" t="s">
        <v>765</v>
      </c>
      <c r="AF16" s="693">
        <f>ROUND(AG16*$B$89,2)</f>
        <v>0</v>
      </c>
      <c r="AG16" s="694">
        <f>ROUND(AH16*'CB Inputs'!$G$10,2)</f>
        <v>0</v>
      </c>
      <c r="AH16" s="694">
        <f>AG5</f>
        <v>0</v>
      </c>
      <c r="AJ16" s="692" t="s">
        <v>765</v>
      </c>
      <c r="AK16" s="693">
        <f>ROUND(AL16*$B$89,2)</f>
        <v>0</v>
      </c>
      <c r="AL16" s="694">
        <f>ROUND(AM16*'CB Inputs'!$G$10,2)</f>
        <v>0</v>
      </c>
      <c r="AM16" s="694">
        <f>AL5</f>
        <v>0</v>
      </c>
      <c r="AO16" s="692" t="s">
        <v>765</v>
      </c>
      <c r="AP16" s="693">
        <f>ROUND(AQ16*$B$89,2)</f>
        <v>0</v>
      </c>
      <c r="AQ16" s="694">
        <f>ROUND(AR16*'CB Inputs'!$G$10,2)</f>
        <v>0</v>
      </c>
      <c r="AR16" s="694">
        <f>AQ5</f>
        <v>0</v>
      </c>
    </row>
    <row r="17" spans="1:44" ht="16" thickBot="1">
      <c r="A17" s="692" t="s">
        <v>766</v>
      </c>
      <c r="B17" s="693">
        <f>ROUND(C17*$B$89,2)</f>
        <v>0</v>
      </c>
      <c r="C17" s="695">
        <f>ROUND(D17*'CB Inputs'!$G$10,2)</f>
        <v>0</v>
      </c>
      <c r="D17" s="695">
        <f>ROUND(D16*B8,2)</f>
        <v>0</v>
      </c>
      <c r="E17" s="668"/>
      <c r="F17" s="692" t="s">
        <v>766</v>
      </c>
      <c r="G17" s="693">
        <f>ROUND(H17*$B$89,2)</f>
        <v>719.97</v>
      </c>
      <c r="H17" s="695">
        <f>ROUND(I17*'CB Inputs'!$G$10,2)</f>
        <v>1439.93</v>
      </c>
      <c r="I17" s="695">
        <f>ROUND(I16*G8,2)</f>
        <v>2399.88</v>
      </c>
      <c r="J17" s="668"/>
      <c r="K17" s="692" t="s">
        <v>766</v>
      </c>
      <c r="L17" s="693">
        <f>ROUND(M17*$B$89,2)</f>
        <v>0</v>
      </c>
      <c r="M17" s="695">
        <f>ROUND(N17*'CB Inputs'!$G$10,2)</f>
        <v>0</v>
      </c>
      <c r="N17" s="695">
        <f>ROUND(N16*L8,2)</f>
        <v>0</v>
      </c>
      <c r="O17" s="668"/>
      <c r="P17" s="692" t="s">
        <v>766</v>
      </c>
      <c r="Q17" s="693">
        <f>ROUND(R17*$B$89,2)</f>
        <v>0</v>
      </c>
      <c r="R17" s="695">
        <f>ROUND(S17*'CB Inputs'!$G$10,2)</f>
        <v>0</v>
      </c>
      <c r="S17" s="695">
        <f>ROUND(S16*Q8,2)</f>
        <v>0</v>
      </c>
      <c r="T17" s="551"/>
      <c r="U17" s="692" t="s">
        <v>766</v>
      </c>
      <c r="V17" s="693">
        <f>ROUND(W17*$B$89,2)</f>
        <v>0</v>
      </c>
      <c r="W17" s="695">
        <f>ROUND(X17*'CB Inputs'!$G$10,2)</f>
        <v>0</v>
      </c>
      <c r="X17" s="695">
        <f>ROUND(X16*V8,2)</f>
        <v>0</v>
      </c>
      <c r="Z17" s="692" t="s">
        <v>766</v>
      </c>
      <c r="AA17" s="693">
        <f>ROUND(AB17*$B$89,2)</f>
        <v>0</v>
      </c>
      <c r="AB17" s="695">
        <f>ROUND(AC17*'CB Inputs'!$G$10,2)</f>
        <v>0</v>
      </c>
      <c r="AC17" s="695">
        <f>ROUND(AC16*AA8,2)</f>
        <v>0</v>
      </c>
      <c r="AE17" s="692" t="s">
        <v>766</v>
      </c>
      <c r="AF17" s="693">
        <f>ROUND(AG17*$B$89,2)</f>
        <v>0</v>
      </c>
      <c r="AG17" s="695">
        <f>ROUND(AH17*'CB Inputs'!$G$10,2)</f>
        <v>0</v>
      </c>
      <c r="AH17" s="695">
        <f>ROUND(AH16*AF8,2)</f>
        <v>0</v>
      </c>
      <c r="AJ17" s="692" t="s">
        <v>766</v>
      </c>
      <c r="AK17" s="693">
        <f>ROUND(AL17*$B$89,2)</f>
        <v>0</v>
      </c>
      <c r="AL17" s="695">
        <f>ROUND(AM17*'CB Inputs'!$G$10,2)</f>
        <v>0</v>
      </c>
      <c r="AM17" s="695">
        <f>ROUND(AM16*AK8,2)</f>
        <v>0</v>
      </c>
      <c r="AO17" s="692" t="s">
        <v>766</v>
      </c>
      <c r="AP17" s="693">
        <f>ROUND(AQ17*$B$89,2)</f>
        <v>0</v>
      </c>
      <c r="AQ17" s="695">
        <f>ROUND(AR17*'CB Inputs'!$G$10,2)</f>
        <v>0</v>
      </c>
      <c r="AR17" s="695">
        <f>ROUND(AR16*AP8,2)</f>
        <v>0</v>
      </c>
    </row>
    <row r="18" spans="1:44" ht="16" thickBot="1">
      <c r="A18" s="692" t="s">
        <v>767</v>
      </c>
      <c r="B18" s="693">
        <f>ROUND(B17*$B$7,2)</f>
        <v>0</v>
      </c>
      <c r="C18" s="695">
        <f>ROUND(C17*B7,2)</f>
        <v>0</v>
      </c>
      <c r="D18" s="695">
        <f>ROUND(D17*B7,2)</f>
        <v>0</v>
      </c>
      <c r="E18" s="668"/>
      <c r="F18" s="692" t="s">
        <v>767</v>
      </c>
      <c r="G18" s="693">
        <f>ROUND(G17*$B$7,2)</f>
        <v>0</v>
      </c>
      <c r="H18" s="695">
        <f>ROUND(H17*G7,2)</f>
        <v>719965</v>
      </c>
      <c r="I18" s="695">
        <f>ROUND(I17*G7,2)</f>
        <v>1199940</v>
      </c>
      <c r="J18" s="668"/>
      <c r="K18" s="692" t="s">
        <v>767</v>
      </c>
      <c r="L18" s="693">
        <f>ROUND(L17*$B$7,2)</f>
        <v>0</v>
      </c>
      <c r="M18" s="695">
        <f>ROUND(M17*L7,2)</f>
        <v>0</v>
      </c>
      <c r="N18" s="695">
        <f>ROUND(N17*L7,2)</f>
        <v>0</v>
      </c>
      <c r="O18" s="668"/>
      <c r="P18" s="692" t="s">
        <v>767</v>
      </c>
      <c r="Q18" s="693">
        <f>ROUND(Q17*$B$7,2)</f>
        <v>0</v>
      </c>
      <c r="R18" s="695">
        <f>ROUND(R17*Q7,2)</f>
        <v>0</v>
      </c>
      <c r="S18" s="695">
        <f>ROUND(S17*Q7,2)</f>
        <v>0</v>
      </c>
      <c r="T18" s="551"/>
      <c r="U18" s="692" t="s">
        <v>767</v>
      </c>
      <c r="V18" s="693">
        <f>ROUND(V17*$B$7,2)</f>
        <v>0</v>
      </c>
      <c r="W18" s="695">
        <f>ROUND(W17*V7,2)</f>
        <v>0</v>
      </c>
      <c r="X18" s="695">
        <f>ROUND(X17*V7,2)</f>
        <v>0</v>
      </c>
      <c r="Z18" s="692" t="s">
        <v>767</v>
      </c>
      <c r="AA18" s="693">
        <f>ROUND(AA17*$B$7,2)</f>
        <v>0</v>
      </c>
      <c r="AB18" s="695">
        <f>ROUND(AB17*AA7,2)</f>
        <v>0</v>
      </c>
      <c r="AC18" s="695">
        <f>ROUND(AC17*AA7,2)</f>
        <v>0</v>
      </c>
      <c r="AE18" s="692" t="s">
        <v>767</v>
      </c>
      <c r="AF18" s="693">
        <f>ROUND(AF17*$B$7,2)</f>
        <v>0</v>
      </c>
      <c r="AG18" s="695">
        <f>ROUND(AG17*AF7,2)</f>
        <v>0</v>
      </c>
      <c r="AH18" s="695">
        <f>ROUND(AH17*AF7,2)</f>
        <v>0</v>
      </c>
      <c r="AJ18" s="692" t="s">
        <v>767</v>
      </c>
      <c r="AK18" s="693">
        <f>ROUND(AK17*$B$7,2)</f>
        <v>0</v>
      </c>
      <c r="AL18" s="695">
        <f>ROUND(AL17*AK7,2)</f>
        <v>0</v>
      </c>
      <c r="AM18" s="695">
        <f>ROUND(AM17*AK7,2)</f>
        <v>0</v>
      </c>
      <c r="AO18" s="692" t="s">
        <v>767</v>
      </c>
      <c r="AP18" s="693">
        <f>ROUND(AP17*$B$7,2)</f>
        <v>0</v>
      </c>
      <c r="AQ18" s="695">
        <f>ROUND(AQ17*AP7,2)</f>
        <v>0</v>
      </c>
      <c r="AR18" s="695">
        <f>ROUND(AR17*AP7,2)</f>
        <v>0</v>
      </c>
    </row>
    <row r="19" spans="1:44" ht="16" thickBot="1">
      <c r="A19" s="668"/>
      <c r="B19" s="668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551"/>
      <c r="U19" s="668"/>
      <c r="V19" s="668"/>
      <c r="W19" s="668"/>
      <c r="X19" s="668"/>
      <c r="Z19" s="668"/>
      <c r="AA19" s="668"/>
      <c r="AB19" s="668"/>
      <c r="AC19" s="668"/>
      <c r="AE19" s="668"/>
      <c r="AF19" s="668"/>
      <c r="AG19" s="668"/>
      <c r="AH19" s="668"/>
      <c r="AJ19" s="668"/>
      <c r="AK19" s="668"/>
      <c r="AL19" s="668"/>
      <c r="AM19" s="668"/>
      <c r="AO19" s="668"/>
      <c r="AP19" s="668"/>
      <c r="AQ19" s="668"/>
      <c r="AR19" s="668"/>
    </row>
    <row r="20" spans="1:44" ht="16" thickBot="1">
      <c r="A20" s="668"/>
      <c r="B20" s="668"/>
      <c r="C20" s="674" t="s">
        <v>754</v>
      </c>
      <c r="D20" s="675" t="s">
        <v>755</v>
      </c>
      <c r="E20" s="668"/>
      <c r="F20" s="668"/>
      <c r="G20" s="668"/>
      <c r="H20" s="674" t="s">
        <v>754</v>
      </c>
      <c r="I20" s="675" t="s">
        <v>755</v>
      </c>
      <c r="J20" s="668"/>
      <c r="K20" s="668"/>
      <c r="L20" s="668"/>
      <c r="M20" s="674" t="s">
        <v>754</v>
      </c>
      <c r="N20" s="675" t="s">
        <v>755</v>
      </c>
      <c r="O20" s="668"/>
      <c r="P20" s="668"/>
      <c r="Q20" s="668"/>
      <c r="R20" s="674" t="s">
        <v>754</v>
      </c>
      <c r="S20" s="675" t="s">
        <v>755</v>
      </c>
      <c r="T20" s="551"/>
      <c r="U20" s="668"/>
      <c r="V20" s="668"/>
      <c r="W20" s="674" t="s">
        <v>754</v>
      </c>
      <c r="X20" s="675" t="s">
        <v>755</v>
      </c>
      <c r="Z20" s="668"/>
      <c r="AA20" s="668"/>
      <c r="AB20" s="674" t="s">
        <v>754</v>
      </c>
      <c r="AC20" s="675" t="s">
        <v>755</v>
      </c>
      <c r="AE20" s="668"/>
      <c r="AF20" s="668"/>
      <c r="AG20" s="674" t="s">
        <v>754</v>
      </c>
      <c r="AH20" s="675" t="s">
        <v>755</v>
      </c>
      <c r="AJ20" s="668"/>
      <c r="AK20" s="668"/>
      <c r="AL20" s="674" t="s">
        <v>754</v>
      </c>
      <c r="AM20" s="675" t="s">
        <v>755</v>
      </c>
      <c r="AO20" s="668"/>
      <c r="AP20" s="668"/>
      <c r="AQ20" s="674" t="s">
        <v>754</v>
      </c>
      <c r="AR20" s="675" t="s">
        <v>755</v>
      </c>
    </row>
    <row r="21" spans="1:44" s="677" customFormat="1" ht="16">
      <c r="A21" s="676" t="s">
        <v>853</v>
      </c>
      <c r="B21" s="1172" t="s">
        <v>18</v>
      </c>
      <c r="C21" s="1176">
        <f>'CB Inputs'!E24</f>
        <v>49.99</v>
      </c>
      <c r="D21" s="1178">
        <f>C21*B24</f>
        <v>999.80000000000007</v>
      </c>
      <c r="E21" s="1179"/>
      <c r="F21" s="676" t="s">
        <v>853</v>
      </c>
      <c r="G21" s="1172" t="s">
        <v>18</v>
      </c>
      <c r="H21" s="1176">
        <f>'CB Inputs'!E37</f>
        <v>49.99</v>
      </c>
      <c r="I21" s="1178">
        <f>H21*G24</f>
        <v>999.80000000000007</v>
      </c>
      <c r="J21" s="1179"/>
      <c r="K21" s="676" t="s">
        <v>853</v>
      </c>
      <c r="L21" s="1172" t="s">
        <v>18</v>
      </c>
      <c r="M21" s="1176">
        <f>'CB Inputs'!E50</f>
        <v>54.99</v>
      </c>
      <c r="N21" s="1178">
        <f>M21*L24</f>
        <v>1099.8</v>
      </c>
      <c r="O21" s="1180"/>
      <c r="P21" s="676" t="s">
        <v>853</v>
      </c>
      <c r="Q21" s="1172" t="s">
        <v>18</v>
      </c>
      <c r="R21" s="1176">
        <f>'CB Inputs'!E63</f>
        <v>54.99</v>
      </c>
      <c r="S21" s="1178">
        <f>R21*Q24</f>
        <v>1099.8</v>
      </c>
      <c r="T21" s="569"/>
      <c r="U21" s="676" t="s">
        <v>853</v>
      </c>
      <c r="V21" s="1172" t="s">
        <v>18</v>
      </c>
      <c r="W21" s="1176">
        <f>'CB Inputs'!E76</f>
        <v>54.99</v>
      </c>
      <c r="X21" s="1178">
        <f>W21*V24</f>
        <v>1099.8</v>
      </c>
      <c r="Z21" s="676" t="s">
        <v>853</v>
      </c>
      <c r="AA21" s="1172" t="s">
        <v>18</v>
      </c>
      <c r="AB21" s="1176">
        <f>'CB Inputs'!E89</f>
        <v>54.99</v>
      </c>
      <c r="AC21" s="1178">
        <f>AB21*AA24</f>
        <v>1099.8</v>
      </c>
      <c r="AE21" s="676" t="s">
        <v>853</v>
      </c>
      <c r="AF21" s="1172" t="s">
        <v>18</v>
      </c>
      <c r="AG21" s="1176">
        <f>'CB Inputs'!E102</f>
        <v>0</v>
      </c>
      <c r="AH21" s="1178">
        <f>AG21*AF24</f>
        <v>0</v>
      </c>
      <c r="AJ21" s="676" t="s">
        <v>853</v>
      </c>
      <c r="AK21" s="1172" t="s">
        <v>18</v>
      </c>
      <c r="AL21" s="1176">
        <f>'CB Inputs'!E115</f>
        <v>0</v>
      </c>
      <c r="AM21" s="1178">
        <f>AL21*AK24</f>
        <v>0</v>
      </c>
      <c r="AO21" s="676" t="s">
        <v>853</v>
      </c>
      <c r="AP21" s="1172" t="s">
        <v>18</v>
      </c>
      <c r="AQ21" s="1176">
        <f>'CB Inputs'!E128</f>
        <v>0</v>
      </c>
      <c r="AR21" s="1178">
        <f>AQ21*AP24</f>
        <v>0</v>
      </c>
    </row>
    <row r="22" spans="1:44" s="677" customFormat="1" ht="16" thickBot="1">
      <c r="A22" s="678" t="s">
        <v>854</v>
      </c>
      <c r="B22" s="1173"/>
      <c r="C22" s="1177"/>
      <c r="D22" s="1175"/>
      <c r="E22" s="1179"/>
      <c r="F22" s="678" t="s">
        <v>854</v>
      </c>
      <c r="G22" s="1173"/>
      <c r="H22" s="1177"/>
      <c r="I22" s="1175"/>
      <c r="J22" s="1179"/>
      <c r="K22" s="678" t="s">
        <v>854</v>
      </c>
      <c r="L22" s="1173"/>
      <c r="M22" s="1177"/>
      <c r="N22" s="1175"/>
      <c r="O22" s="1180"/>
      <c r="P22" s="678" t="s">
        <v>854</v>
      </c>
      <c r="Q22" s="1173"/>
      <c r="R22" s="1177"/>
      <c r="S22" s="1175"/>
      <c r="T22" s="569"/>
      <c r="U22" s="678" t="s">
        <v>854</v>
      </c>
      <c r="V22" s="1173"/>
      <c r="W22" s="1177"/>
      <c r="X22" s="1175"/>
      <c r="Z22" s="678" t="s">
        <v>854</v>
      </c>
      <c r="AA22" s="1173"/>
      <c r="AB22" s="1177"/>
      <c r="AC22" s="1175"/>
      <c r="AE22" s="678" t="s">
        <v>854</v>
      </c>
      <c r="AF22" s="1173"/>
      <c r="AG22" s="1177"/>
      <c r="AH22" s="1175"/>
      <c r="AJ22" s="678" t="s">
        <v>854</v>
      </c>
      <c r="AK22" s="1173"/>
      <c r="AL22" s="1177"/>
      <c r="AM22" s="1175"/>
      <c r="AO22" s="678" t="s">
        <v>854</v>
      </c>
      <c r="AP22" s="1173"/>
      <c r="AQ22" s="1177"/>
      <c r="AR22" s="1175"/>
    </row>
    <row r="23" spans="1:44" ht="16" thickBot="1">
      <c r="A23" s="679" t="s">
        <v>758</v>
      </c>
      <c r="B23" s="680">
        <f>'CB Inputs'!G24</f>
        <v>1000</v>
      </c>
      <c r="C23" s="681"/>
      <c r="D23" s="681"/>
      <c r="E23" s="668"/>
      <c r="F23" s="679" t="s">
        <v>758</v>
      </c>
      <c r="G23" s="680">
        <f>'CB Inputs'!G37</f>
        <v>1500</v>
      </c>
      <c r="H23" s="681"/>
      <c r="I23" s="681"/>
      <c r="J23" s="668"/>
      <c r="K23" s="679" t="s">
        <v>758</v>
      </c>
      <c r="L23" s="680">
        <f>'CB Inputs'!G50</f>
        <v>1050</v>
      </c>
      <c r="M23" s="681"/>
      <c r="N23" s="681"/>
      <c r="O23" s="668"/>
      <c r="P23" s="679" t="s">
        <v>758</v>
      </c>
      <c r="Q23" s="680">
        <f>'CB Inputs'!G63</f>
        <v>1050</v>
      </c>
      <c r="R23" s="681"/>
      <c r="S23" s="681"/>
      <c r="T23" s="551"/>
      <c r="U23" s="679" t="s">
        <v>758</v>
      </c>
      <c r="V23" s="680">
        <f>'CB Inputs'!G76</f>
        <v>1100</v>
      </c>
      <c r="W23" s="681"/>
      <c r="X23" s="681"/>
      <c r="Z23" s="679" t="s">
        <v>758</v>
      </c>
      <c r="AA23" s="680">
        <f>'CB Inputs'!G89</f>
        <v>1100</v>
      </c>
      <c r="AB23" s="681"/>
      <c r="AC23" s="681"/>
      <c r="AE23" s="679" t="s">
        <v>758</v>
      </c>
      <c r="AF23" s="680">
        <f>'CB Inputs'!G102</f>
        <v>0</v>
      </c>
      <c r="AG23" s="681"/>
      <c r="AH23" s="681"/>
      <c r="AJ23" s="679" t="s">
        <v>758</v>
      </c>
      <c r="AK23" s="680">
        <f>'CB Inputs'!G115</f>
        <v>0</v>
      </c>
      <c r="AL23" s="681"/>
      <c r="AM23" s="681"/>
      <c r="AO23" s="679" t="s">
        <v>758</v>
      </c>
      <c r="AP23" s="680">
        <f>'CB Inputs'!G128</f>
        <v>0</v>
      </c>
      <c r="AQ23" s="681"/>
      <c r="AR23" s="681"/>
    </row>
    <row r="24" spans="1:44" ht="17" thickBot="1">
      <c r="A24" s="682" t="s">
        <v>188</v>
      </c>
      <c r="B24" s="681">
        <f>'CB Inputs'!I24</f>
        <v>20</v>
      </c>
      <c r="C24" s="681"/>
      <c r="D24" s="683"/>
      <c r="E24" s="668"/>
      <c r="F24" s="682" t="s">
        <v>188</v>
      </c>
      <c r="G24" s="681">
        <f>'CB Inputs'!I37</f>
        <v>20</v>
      </c>
      <c r="H24" s="681"/>
      <c r="I24" s="683"/>
      <c r="J24" s="668"/>
      <c r="K24" s="682" t="s">
        <v>188</v>
      </c>
      <c r="L24" s="681">
        <f>'CB Inputs'!I50</f>
        <v>20</v>
      </c>
      <c r="M24" s="681"/>
      <c r="N24" s="683"/>
      <c r="O24" s="668"/>
      <c r="P24" s="682" t="s">
        <v>188</v>
      </c>
      <c r="Q24" s="681">
        <f>'CB Inputs'!I63</f>
        <v>20</v>
      </c>
      <c r="R24" s="681"/>
      <c r="S24" s="683"/>
      <c r="T24" s="551"/>
      <c r="U24" s="682" t="s">
        <v>188</v>
      </c>
      <c r="V24" s="681">
        <f>'CB Inputs'!I76</f>
        <v>20</v>
      </c>
      <c r="W24" s="681"/>
      <c r="X24" s="683"/>
      <c r="Z24" s="682" t="s">
        <v>188</v>
      </c>
      <c r="AA24" s="681">
        <f>'CB Inputs'!I89</f>
        <v>20</v>
      </c>
      <c r="AB24" s="681"/>
      <c r="AC24" s="683"/>
      <c r="AE24" s="682" t="s">
        <v>188</v>
      </c>
      <c r="AF24" s="681">
        <f>'CB Inputs'!I102</f>
        <v>0</v>
      </c>
      <c r="AG24" s="681"/>
      <c r="AH24" s="683"/>
      <c r="AJ24" s="682" t="s">
        <v>188</v>
      </c>
      <c r="AK24" s="681">
        <f>'CB Inputs'!I115</f>
        <v>0</v>
      </c>
      <c r="AL24" s="681"/>
      <c r="AM24" s="683"/>
      <c r="AO24" s="682" t="s">
        <v>188</v>
      </c>
      <c r="AP24" s="681">
        <f>'CB Inputs'!I128</f>
        <v>0</v>
      </c>
      <c r="AQ24" s="681"/>
      <c r="AR24" s="683"/>
    </row>
    <row r="25" spans="1:44" ht="16" thickBot="1">
      <c r="A25" s="679" t="s">
        <v>759</v>
      </c>
      <c r="B25" s="680">
        <f>B23*B24</f>
        <v>20000</v>
      </c>
      <c r="C25" s="684"/>
      <c r="D25" s="685"/>
      <c r="E25" s="668"/>
      <c r="F25" s="679" t="s">
        <v>759</v>
      </c>
      <c r="G25" s="680">
        <f>G23*G24</f>
        <v>30000</v>
      </c>
      <c r="H25" s="684"/>
      <c r="I25" s="685"/>
      <c r="J25" s="668"/>
      <c r="K25" s="679" t="s">
        <v>759</v>
      </c>
      <c r="L25" s="680">
        <f>L23*L24</f>
        <v>21000</v>
      </c>
      <c r="M25" s="684"/>
      <c r="N25" s="685"/>
      <c r="O25" s="668"/>
      <c r="P25" s="679" t="s">
        <v>759</v>
      </c>
      <c r="Q25" s="680">
        <f>Q23*Q24</f>
        <v>21000</v>
      </c>
      <c r="R25" s="684"/>
      <c r="S25" s="685"/>
      <c r="T25" s="551"/>
      <c r="U25" s="679" t="s">
        <v>759</v>
      </c>
      <c r="V25" s="680">
        <f>V23*V24</f>
        <v>22000</v>
      </c>
      <c r="W25" s="684"/>
      <c r="X25" s="685"/>
      <c r="Z25" s="679" t="s">
        <v>759</v>
      </c>
      <c r="AA25" s="680">
        <f>AA23*AA24</f>
        <v>22000</v>
      </c>
      <c r="AB25" s="684"/>
      <c r="AC25" s="685"/>
      <c r="AE25" s="679" t="s">
        <v>759</v>
      </c>
      <c r="AF25" s="680">
        <f>AF23*AF24</f>
        <v>0</v>
      </c>
      <c r="AG25" s="684"/>
      <c r="AH25" s="685"/>
      <c r="AJ25" s="679" t="s">
        <v>759</v>
      </c>
      <c r="AK25" s="680">
        <f>AK23*AK24</f>
        <v>0</v>
      </c>
      <c r="AL25" s="684"/>
      <c r="AM25" s="685"/>
      <c r="AO25" s="679" t="s">
        <v>759</v>
      </c>
      <c r="AP25" s="680">
        <f>AP23*AP24</f>
        <v>0</v>
      </c>
      <c r="AQ25" s="684"/>
      <c r="AR25" s="685"/>
    </row>
    <row r="26" spans="1:44" ht="16" thickBot="1">
      <c r="A26" s="679" t="s">
        <v>192</v>
      </c>
      <c r="B26" s="681">
        <f>'CB Inputs'!K24</f>
        <v>8</v>
      </c>
      <c r="C26" s="684"/>
      <c r="D26" s="686"/>
      <c r="E26" s="668"/>
      <c r="F26" s="679" t="s">
        <v>192</v>
      </c>
      <c r="G26" s="681">
        <f>'CB Inputs'!K37</f>
        <v>8</v>
      </c>
      <c r="H26" s="684"/>
      <c r="I26" s="686"/>
      <c r="J26" s="668"/>
      <c r="K26" s="679" t="s">
        <v>192</v>
      </c>
      <c r="L26" s="681">
        <f>'CB Inputs'!K50</f>
        <v>8</v>
      </c>
      <c r="M26" s="684"/>
      <c r="N26" s="686"/>
      <c r="O26" s="668"/>
      <c r="P26" s="679" t="s">
        <v>192</v>
      </c>
      <c r="Q26" s="681">
        <f>'CB Inputs'!K63</f>
        <v>8</v>
      </c>
      <c r="R26" s="684"/>
      <c r="S26" s="686"/>
      <c r="U26" s="679" t="s">
        <v>192</v>
      </c>
      <c r="V26" s="681">
        <f>'CB Inputs'!K76</f>
        <v>8</v>
      </c>
      <c r="W26" s="684"/>
      <c r="X26" s="686"/>
      <c r="Z26" s="679" t="s">
        <v>192</v>
      </c>
      <c r="AA26" s="681">
        <f>'CB Inputs'!K89</f>
        <v>8</v>
      </c>
      <c r="AB26" s="684"/>
      <c r="AC26" s="686"/>
      <c r="AE26" s="679" t="s">
        <v>192</v>
      </c>
      <c r="AF26" s="681">
        <f>'CB Inputs'!K102</f>
        <v>0</v>
      </c>
      <c r="AG26" s="684"/>
      <c r="AH26" s="686"/>
      <c r="AJ26" s="679" t="s">
        <v>192</v>
      </c>
      <c r="AK26" s="681">
        <f>'CB Inputs'!K115</f>
        <v>0</v>
      </c>
      <c r="AL26" s="684"/>
      <c r="AM26" s="686"/>
      <c r="AO26" s="679" t="s">
        <v>192</v>
      </c>
      <c r="AP26" s="681">
        <f>'CB Inputs'!K128</f>
        <v>0</v>
      </c>
      <c r="AQ26" s="684"/>
      <c r="AR26" s="686"/>
    </row>
    <row r="27" spans="1:44" ht="16" thickBot="1">
      <c r="A27" s="687" t="s">
        <v>195</v>
      </c>
      <c r="B27" s="681">
        <f>'CB Inputs'!M24</f>
        <v>7</v>
      </c>
      <c r="C27" s="681"/>
      <c r="D27" s="681"/>
      <c r="E27" s="668"/>
      <c r="F27" s="687" t="s">
        <v>195</v>
      </c>
      <c r="G27" s="681">
        <f>'CB Inputs'!M37</f>
        <v>7</v>
      </c>
      <c r="H27" s="681"/>
      <c r="I27" s="681"/>
      <c r="J27" s="668"/>
      <c r="K27" s="687" t="s">
        <v>195</v>
      </c>
      <c r="L27" s="681">
        <f>'CB Inputs'!M50</f>
        <v>7</v>
      </c>
      <c r="M27" s="681"/>
      <c r="N27" s="681"/>
      <c r="O27" s="668"/>
      <c r="P27" s="687" t="s">
        <v>195</v>
      </c>
      <c r="Q27" s="681">
        <f>'CB Inputs'!M63</f>
        <v>7</v>
      </c>
      <c r="R27" s="681"/>
      <c r="S27" s="681"/>
      <c r="U27" s="687" t="s">
        <v>195</v>
      </c>
      <c r="V27" s="681">
        <f>'CB Inputs'!M76</f>
        <v>7</v>
      </c>
      <c r="W27" s="681"/>
      <c r="X27" s="681"/>
      <c r="Z27" s="687" t="s">
        <v>195</v>
      </c>
      <c r="AA27" s="681">
        <f>'CB Inputs'!M89</f>
        <v>7</v>
      </c>
      <c r="AB27" s="681"/>
      <c r="AC27" s="681"/>
      <c r="AE27" s="687" t="s">
        <v>195</v>
      </c>
      <c r="AF27" s="681">
        <f>'CB Inputs'!M102</f>
        <v>0</v>
      </c>
      <c r="AG27" s="681"/>
      <c r="AH27" s="681"/>
      <c r="AJ27" s="687" t="s">
        <v>195</v>
      </c>
      <c r="AK27" s="681">
        <f>'CB Inputs'!M115</f>
        <v>0</v>
      </c>
      <c r="AL27" s="681"/>
      <c r="AM27" s="681"/>
      <c r="AO27" s="687" t="s">
        <v>195</v>
      </c>
      <c r="AP27" s="681">
        <f>'CB Inputs'!M128</f>
        <v>0</v>
      </c>
      <c r="AQ27" s="681"/>
      <c r="AR27" s="681"/>
    </row>
    <row r="28" spans="1:44" ht="16" thickBot="1">
      <c r="A28" s="679" t="s">
        <v>761</v>
      </c>
      <c r="B28" s="680">
        <f>B25*B26</f>
        <v>160000</v>
      </c>
      <c r="C28" s="681"/>
      <c r="D28" s="681"/>
      <c r="E28" s="668"/>
      <c r="F28" s="679" t="s">
        <v>761</v>
      </c>
      <c r="G28" s="680">
        <f>G25*G26</f>
        <v>240000</v>
      </c>
      <c r="H28" s="681"/>
      <c r="I28" s="681"/>
      <c r="J28" s="668"/>
      <c r="K28" s="679" t="s">
        <v>761</v>
      </c>
      <c r="L28" s="680">
        <f>L25*L26</f>
        <v>168000</v>
      </c>
      <c r="M28" s="681"/>
      <c r="N28" s="681"/>
      <c r="O28" s="668"/>
      <c r="P28" s="679" t="s">
        <v>761</v>
      </c>
      <c r="Q28" s="680">
        <f>Q25*Q26</f>
        <v>168000</v>
      </c>
      <c r="R28" s="681"/>
      <c r="S28" s="681"/>
      <c r="U28" s="679" t="s">
        <v>761</v>
      </c>
      <c r="V28" s="680">
        <f>V25*V26</f>
        <v>176000</v>
      </c>
      <c r="W28" s="681"/>
      <c r="X28" s="681"/>
      <c r="Z28" s="679" t="s">
        <v>761</v>
      </c>
      <c r="AA28" s="680">
        <f>AA25*AA26</f>
        <v>176000</v>
      </c>
      <c r="AB28" s="681"/>
      <c r="AC28" s="681"/>
      <c r="AE28" s="679" t="s">
        <v>761</v>
      </c>
      <c r="AF28" s="680">
        <f>AF25*AF26</f>
        <v>0</v>
      </c>
      <c r="AG28" s="681"/>
      <c r="AH28" s="681"/>
      <c r="AJ28" s="679" t="s">
        <v>761</v>
      </c>
      <c r="AK28" s="680">
        <f>AK25*AK26</f>
        <v>0</v>
      </c>
      <c r="AL28" s="681"/>
      <c r="AM28" s="681"/>
      <c r="AO28" s="679" t="s">
        <v>761</v>
      </c>
      <c r="AP28" s="680">
        <f>AP25*AP26</f>
        <v>0</v>
      </c>
      <c r="AQ28" s="681"/>
      <c r="AR28" s="681"/>
    </row>
    <row r="29" spans="1:44" ht="16" thickBot="1">
      <c r="A29" s="679" t="s">
        <v>762</v>
      </c>
      <c r="B29" s="680">
        <f>B28*B27</f>
        <v>1120000</v>
      </c>
      <c r="C29" s="681"/>
      <c r="D29" s="681"/>
      <c r="E29" s="668"/>
      <c r="F29" s="679" t="s">
        <v>762</v>
      </c>
      <c r="G29" s="680">
        <f>G28*G27</f>
        <v>1680000</v>
      </c>
      <c r="H29" s="681"/>
      <c r="I29" s="681"/>
      <c r="J29" s="668"/>
      <c r="K29" s="679" t="s">
        <v>762</v>
      </c>
      <c r="L29" s="680">
        <f>L28*L27</f>
        <v>1176000</v>
      </c>
      <c r="M29" s="681"/>
      <c r="N29" s="681"/>
      <c r="O29" s="668"/>
      <c r="P29" s="679" t="s">
        <v>762</v>
      </c>
      <c r="Q29" s="680">
        <f>Q28*Q27</f>
        <v>1176000</v>
      </c>
      <c r="R29" s="681"/>
      <c r="S29" s="681"/>
      <c r="U29" s="679" t="s">
        <v>762</v>
      </c>
      <c r="V29" s="680">
        <f>V28*V27</f>
        <v>1232000</v>
      </c>
      <c r="W29" s="681"/>
      <c r="X29" s="681"/>
      <c r="Z29" s="679" t="s">
        <v>762</v>
      </c>
      <c r="AA29" s="680">
        <f>AA28*AA27</f>
        <v>1232000</v>
      </c>
      <c r="AB29" s="681"/>
      <c r="AC29" s="681"/>
      <c r="AE29" s="679" t="s">
        <v>762</v>
      </c>
      <c r="AF29" s="680">
        <f>AF28*AF27</f>
        <v>0</v>
      </c>
      <c r="AG29" s="681"/>
      <c r="AH29" s="681"/>
      <c r="AJ29" s="679" t="s">
        <v>762</v>
      </c>
      <c r="AK29" s="680">
        <f>AK28*AK27</f>
        <v>0</v>
      </c>
      <c r="AL29" s="681"/>
      <c r="AM29" s="681"/>
      <c r="AO29" s="679" t="s">
        <v>762</v>
      </c>
      <c r="AP29" s="680">
        <f>AP28*AP27</f>
        <v>0</v>
      </c>
      <c r="AQ29" s="681"/>
      <c r="AR29" s="681"/>
    </row>
    <row r="30" spans="1:44" ht="16" thickBot="1">
      <c r="A30" s="679" t="s">
        <v>763</v>
      </c>
      <c r="B30" s="688">
        <f>C34/B29</f>
        <v>0.44633928571428572</v>
      </c>
      <c r="C30" s="681"/>
      <c r="D30" s="689"/>
      <c r="E30" s="668"/>
      <c r="F30" s="679" t="s">
        <v>763</v>
      </c>
      <c r="G30" s="688">
        <f>H34/G29</f>
        <v>0.44633928571428572</v>
      </c>
      <c r="H30" s="681"/>
      <c r="I30" s="689"/>
      <c r="J30" s="668"/>
      <c r="K30" s="679" t="s">
        <v>763</v>
      </c>
      <c r="L30" s="688">
        <f>M34/L29</f>
        <v>0.49098214285714287</v>
      </c>
      <c r="M30" s="681"/>
      <c r="N30" s="689"/>
      <c r="O30" s="668"/>
      <c r="P30" s="679" t="s">
        <v>763</v>
      </c>
      <c r="Q30" s="688">
        <f>R34/Q29</f>
        <v>0.49098214285714287</v>
      </c>
      <c r="R30" s="681"/>
      <c r="S30" s="689"/>
      <c r="U30" s="679" t="s">
        <v>763</v>
      </c>
      <c r="V30" s="688">
        <f>W34/V29</f>
        <v>0.49098214285714287</v>
      </c>
      <c r="W30" s="681"/>
      <c r="X30" s="689"/>
      <c r="Z30" s="679" t="s">
        <v>763</v>
      </c>
      <c r="AA30" s="688">
        <f>AB34/AA29</f>
        <v>0.49098214285714287</v>
      </c>
      <c r="AB30" s="681"/>
      <c r="AC30" s="689"/>
      <c r="AE30" s="679" t="s">
        <v>763</v>
      </c>
      <c r="AF30" s="688" t="e">
        <f>AG34/AF29</f>
        <v>#DIV/0!</v>
      </c>
      <c r="AG30" s="681"/>
      <c r="AH30" s="689"/>
      <c r="AJ30" s="679" t="s">
        <v>763</v>
      </c>
      <c r="AK30" s="688" t="e">
        <f>AL34/AK29</f>
        <v>#DIV/0!</v>
      </c>
      <c r="AL30" s="681"/>
      <c r="AM30" s="689"/>
      <c r="AO30" s="679" t="s">
        <v>763</v>
      </c>
      <c r="AP30" s="688" t="e">
        <f>AQ34/AP29</f>
        <v>#DIV/0!</v>
      </c>
      <c r="AQ30" s="681"/>
      <c r="AR30" s="689"/>
    </row>
    <row r="31" spans="1:44" ht="16" thickBot="1">
      <c r="A31" s="690"/>
      <c r="B31" s="691" t="s">
        <v>250</v>
      </c>
      <c r="C31" s="691" t="s">
        <v>764</v>
      </c>
      <c r="D31" s="691" t="s">
        <v>18</v>
      </c>
      <c r="E31" s="668"/>
      <c r="F31" s="690"/>
      <c r="G31" s="691" t="s">
        <v>250</v>
      </c>
      <c r="H31" s="691" t="s">
        <v>764</v>
      </c>
      <c r="I31" s="691" t="s">
        <v>18</v>
      </c>
      <c r="J31" s="668"/>
      <c r="K31" s="690"/>
      <c r="L31" s="691" t="s">
        <v>250</v>
      </c>
      <c r="M31" s="691" t="s">
        <v>764</v>
      </c>
      <c r="N31" s="691" t="s">
        <v>18</v>
      </c>
      <c r="O31" s="668"/>
      <c r="P31" s="690"/>
      <c r="Q31" s="691" t="s">
        <v>250</v>
      </c>
      <c r="R31" s="691" t="s">
        <v>764</v>
      </c>
      <c r="S31" s="691" t="s">
        <v>18</v>
      </c>
      <c r="U31" s="690"/>
      <c r="V31" s="691" t="s">
        <v>250</v>
      </c>
      <c r="W31" s="691" t="s">
        <v>764</v>
      </c>
      <c r="X31" s="691" t="s">
        <v>18</v>
      </c>
      <c r="Z31" s="690"/>
      <c r="AA31" s="691" t="s">
        <v>250</v>
      </c>
      <c r="AB31" s="691" t="s">
        <v>764</v>
      </c>
      <c r="AC31" s="691" t="s">
        <v>18</v>
      </c>
      <c r="AE31" s="690"/>
      <c r="AF31" s="691" t="s">
        <v>250</v>
      </c>
      <c r="AG31" s="691" t="s">
        <v>764</v>
      </c>
      <c r="AH31" s="691" t="s">
        <v>18</v>
      </c>
      <c r="AJ31" s="690"/>
      <c r="AK31" s="691" t="s">
        <v>250</v>
      </c>
      <c r="AL31" s="691" t="s">
        <v>764</v>
      </c>
      <c r="AM31" s="691" t="s">
        <v>18</v>
      </c>
      <c r="AO31" s="690"/>
      <c r="AP31" s="691" t="s">
        <v>250</v>
      </c>
      <c r="AQ31" s="691" t="s">
        <v>764</v>
      </c>
      <c r="AR31" s="691" t="s">
        <v>18</v>
      </c>
    </row>
    <row r="32" spans="1:44" ht="16" thickBot="1">
      <c r="A32" s="692" t="s">
        <v>765</v>
      </c>
      <c r="B32" s="693">
        <f>ROUND(C32*$B$89,2)</f>
        <v>12.5</v>
      </c>
      <c r="C32" s="694">
        <f>ROUND(D32*'CB Inputs'!$G$11,2)</f>
        <v>25</v>
      </c>
      <c r="D32" s="694">
        <f>C21</f>
        <v>49.99</v>
      </c>
      <c r="E32" s="668"/>
      <c r="F32" s="692" t="s">
        <v>765</v>
      </c>
      <c r="G32" s="693">
        <f>ROUND(H32*$B$89,2)</f>
        <v>12.5</v>
      </c>
      <c r="H32" s="694">
        <f>ROUND(I32*'CB Inputs'!$G$11,2)</f>
        <v>25</v>
      </c>
      <c r="I32" s="694">
        <f>H21</f>
        <v>49.99</v>
      </c>
      <c r="J32" s="668"/>
      <c r="K32" s="692" t="s">
        <v>765</v>
      </c>
      <c r="L32" s="693">
        <f>ROUND(M32*$B$89,2)</f>
        <v>13.75</v>
      </c>
      <c r="M32" s="694">
        <f>ROUND(N32*'CB Inputs'!$G$11,2)</f>
        <v>27.5</v>
      </c>
      <c r="N32" s="694">
        <f>M21</f>
        <v>54.99</v>
      </c>
      <c r="O32" s="668"/>
      <c r="P32" s="692" t="s">
        <v>765</v>
      </c>
      <c r="Q32" s="693">
        <f>ROUND(R32*$B$89,2)</f>
        <v>13.75</v>
      </c>
      <c r="R32" s="694">
        <f>ROUND(S32*'CB Inputs'!$G$11,2)</f>
        <v>27.5</v>
      </c>
      <c r="S32" s="694">
        <f>R21</f>
        <v>54.99</v>
      </c>
      <c r="U32" s="692" t="s">
        <v>765</v>
      </c>
      <c r="V32" s="693">
        <f>ROUND(W32*$B$89,2)</f>
        <v>13.75</v>
      </c>
      <c r="W32" s="694">
        <f>ROUND(X32*'CB Inputs'!$G$11,2)</f>
        <v>27.5</v>
      </c>
      <c r="X32" s="694">
        <f>W21</f>
        <v>54.99</v>
      </c>
      <c r="Z32" s="692" t="s">
        <v>765</v>
      </c>
      <c r="AA32" s="693">
        <f>ROUND(AB32*$B$89,2)</f>
        <v>13.75</v>
      </c>
      <c r="AB32" s="694">
        <f>ROUND(AC32*'CB Inputs'!$G$11,2)</f>
        <v>27.5</v>
      </c>
      <c r="AC32" s="694">
        <f>AB21</f>
        <v>54.99</v>
      </c>
      <c r="AE32" s="692" t="s">
        <v>765</v>
      </c>
      <c r="AF32" s="693">
        <f>ROUND(AG32*$B$89,2)</f>
        <v>0</v>
      </c>
      <c r="AG32" s="694">
        <f>ROUND(AH32*'CB Inputs'!$G$11,2)</f>
        <v>0</v>
      </c>
      <c r="AH32" s="694">
        <f>AG21</f>
        <v>0</v>
      </c>
      <c r="AJ32" s="692" t="s">
        <v>765</v>
      </c>
      <c r="AK32" s="693">
        <f>ROUND(AL32*$B$89,2)</f>
        <v>0</v>
      </c>
      <c r="AL32" s="694">
        <f>ROUND(AM32*'CB Inputs'!$G$11,2)</f>
        <v>0</v>
      </c>
      <c r="AM32" s="694">
        <f>AL21</f>
        <v>0</v>
      </c>
      <c r="AO32" s="692" t="s">
        <v>765</v>
      </c>
      <c r="AP32" s="693">
        <f>ROUND(AQ32*$B$89,2)</f>
        <v>0</v>
      </c>
      <c r="AQ32" s="694">
        <f>ROUND(AR32*'CB Inputs'!$G$11,2)</f>
        <v>0</v>
      </c>
      <c r="AR32" s="694">
        <f>AQ21</f>
        <v>0</v>
      </c>
    </row>
    <row r="33" spans="1:44" ht="16" thickBot="1">
      <c r="A33" s="692" t="s">
        <v>766</v>
      </c>
      <c r="B33" s="693">
        <f>ROUND(C33*$B$89,2)</f>
        <v>249.95</v>
      </c>
      <c r="C33" s="695">
        <f>ROUND(D33*'CB Inputs'!$G$11,2)</f>
        <v>499.9</v>
      </c>
      <c r="D33" s="695">
        <f>ROUND(D32*B24,2)</f>
        <v>999.8</v>
      </c>
      <c r="E33" s="668"/>
      <c r="F33" s="692" t="s">
        <v>766</v>
      </c>
      <c r="G33" s="693">
        <f>ROUND(H33*$B$89,2)</f>
        <v>249.95</v>
      </c>
      <c r="H33" s="695">
        <f>ROUND(I33*'CB Inputs'!$G$11,2)</f>
        <v>499.9</v>
      </c>
      <c r="I33" s="695">
        <f>ROUND(I32*G24,2)</f>
        <v>999.8</v>
      </c>
      <c r="J33" s="668"/>
      <c r="K33" s="692" t="s">
        <v>766</v>
      </c>
      <c r="L33" s="693">
        <f>ROUND(M33*$B$89,2)</f>
        <v>274.95</v>
      </c>
      <c r="M33" s="695">
        <f>ROUND(N33*'CB Inputs'!$G$11,2)</f>
        <v>549.9</v>
      </c>
      <c r="N33" s="695">
        <f>ROUND(N32*L24,2)</f>
        <v>1099.8</v>
      </c>
      <c r="O33" s="668"/>
      <c r="P33" s="692" t="s">
        <v>766</v>
      </c>
      <c r="Q33" s="693">
        <f>ROUND(R33*$B$89,2)</f>
        <v>274.95</v>
      </c>
      <c r="R33" s="695">
        <f>ROUND(S33*'CB Inputs'!$G$11,2)</f>
        <v>549.9</v>
      </c>
      <c r="S33" s="695">
        <f>ROUND(S32*Q24,2)</f>
        <v>1099.8</v>
      </c>
      <c r="U33" s="692" t="s">
        <v>766</v>
      </c>
      <c r="V33" s="693">
        <f>ROUND(W33*$B$89,2)</f>
        <v>274.95</v>
      </c>
      <c r="W33" s="695">
        <f>ROUND(X33*'CB Inputs'!$G$11,2)</f>
        <v>549.9</v>
      </c>
      <c r="X33" s="695">
        <f>ROUND(X32*V24,2)</f>
        <v>1099.8</v>
      </c>
      <c r="Z33" s="692" t="s">
        <v>766</v>
      </c>
      <c r="AA33" s="693">
        <f>ROUND(AB33*$B$89,2)</f>
        <v>274.95</v>
      </c>
      <c r="AB33" s="695">
        <f>ROUND(AC33*'CB Inputs'!$G$11,2)</f>
        <v>549.9</v>
      </c>
      <c r="AC33" s="695">
        <f>ROUND(AC32*AA24,2)</f>
        <v>1099.8</v>
      </c>
      <c r="AE33" s="692" t="s">
        <v>766</v>
      </c>
      <c r="AF33" s="693">
        <f>ROUND(AG33*$B$89,2)</f>
        <v>0</v>
      </c>
      <c r="AG33" s="695">
        <f>ROUND(AH33*'CB Inputs'!$G$11,2)</f>
        <v>0</v>
      </c>
      <c r="AH33" s="695">
        <f>ROUND(AH32*AF24,2)</f>
        <v>0</v>
      </c>
      <c r="AJ33" s="692" t="s">
        <v>766</v>
      </c>
      <c r="AK33" s="693">
        <f>ROUND(AL33*$B$89,2)</f>
        <v>0</v>
      </c>
      <c r="AL33" s="695">
        <f>ROUND(AM33*'CB Inputs'!$G$11,2)</f>
        <v>0</v>
      </c>
      <c r="AM33" s="695">
        <f>ROUND(AM32*AK24,2)</f>
        <v>0</v>
      </c>
      <c r="AO33" s="692" t="s">
        <v>766</v>
      </c>
      <c r="AP33" s="693">
        <f>ROUND(AQ33*$B$89,2)</f>
        <v>0</v>
      </c>
      <c r="AQ33" s="695">
        <f>ROUND(AR33*'CB Inputs'!$G$11,2)</f>
        <v>0</v>
      </c>
      <c r="AR33" s="695">
        <f>ROUND(AR32*AP24,2)</f>
        <v>0</v>
      </c>
    </row>
    <row r="34" spans="1:44" ht="16" thickBot="1">
      <c r="A34" s="692" t="s">
        <v>767</v>
      </c>
      <c r="B34" s="693">
        <f>ROUND(B33*$B23,2)</f>
        <v>249950</v>
      </c>
      <c r="C34" s="695">
        <f>ROUND(C33*B23,2)</f>
        <v>499900</v>
      </c>
      <c r="D34" s="695">
        <f>ROUND(D33*B23,2)</f>
        <v>999800</v>
      </c>
      <c r="E34" s="668"/>
      <c r="F34" s="692" t="s">
        <v>767</v>
      </c>
      <c r="G34" s="693">
        <f>ROUND(G33*$B23,2)</f>
        <v>249950</v>
      </c>
      <c r="H34" s="695">
        <f>ROUND(H33*G23,2)</f>
        <v>749850</v>
      </c>
      <c r="I34" s="695">
        <f>ROUND(I33*G23,2)</f>
        <v>1499700</v>
      </c>
      <c r="J34" s="668"/>
      <c r="K34" s="692" t="s">
        <v>767</v>
      </c>
      <c r="L34" s="693">
        <f>ROUND(L33*$B23,2)</f>
        <v>274950</v>
      </c>
      <c r="M34" s="695">
        <f>ROUND(M33*L23,2)</f>
        <v>577395</v>
      </c>
      <c r="N34" s="695">
        <f>ROUND(N33*L23,2)</f>
        <v>1154790</v>
      </c>
      <c r="O34" s="668"/>
      <c r="P34" s="692" t="s">
        <v>767</v>
      </c>
      <c r="Q34" s="693">
        <f>ROUND(Q33*$B23,2)</f>
        <v>274950</v>
      </c>
      <c r="R34" s="695">
        <f>ROUND(R33*Q23,2)</f>
        <v>577395</v>
      </c>
      <c r="S34" s="695">
        <f>ROUND(S33*Q23,2)</f>
        <v>1154790</v>
      </c>
      <c r="U34" s="692" t="s">
        <v>767</v>
      </c>
      <c r="V34" s="693">
        <f>ROUND(V33*$B23,2)</f>
        <v>274950</v>
      </c>
      <c r="W34" s="695">
        <f>ROUND(W33*V23,2)</f>
        <v>604890</v>
      </c>
      <c r="X34" s="695">
        <f>ROUND(X33*V23,2)</f>
        <v>1209780</v>
      </c>
      <c r="Z34" s="692" t="s">
        <v>767</v>
      </c>
      <c r="AA34" s="693">
        <f>ROUND(AA33*$B23,2)</f>
        <v>274950</v>
      </c>
      <c r="AB34" s="695">
        <f>ROUND(AB33*AA23,2)</f>
        <v>604890</v>
      </c>
      <c r="AC34" s="695">
        <f>ROUND(AC33*AA23,2)</f>
        <v>1209780</v>
      </c>
      <c r="AE34" s="692" t="s">
        <v>767</v>
      </c>
      <c r="AF34" s="693">
        <f>ROUND(AF33*$B23,2)</f>
        <v>0</v>
      </c>
      <c r="AG34" s="695">
        <f>ROUND(AG33*AF23,2)</f>
        <v>0</v>
      </c>
      <c r="AH34" s="695">
        <f>ROUND(AH33*AF23,2)</f>
        <v>0</v>
      </c>
      <c r="AJ34" s="692" t="s">
        <v>767</v>
      </c>
      <c r="AK34" s="693">
        <f>ROUND(AK33*$B23,2)</f>
        <v>0</v>
      </c>
      <c r="AL34" s="695">
        <f>ROUND(AL33*AK23,2)</f>
        <v>0</v>
      </c>
      <c r="AM34" s="695">
        <f>ROUND(AM33*AK23,2)</f>
        <v>0</v>
      </c>
      <c r="AO34" s="692" t="s">
        <v>767</v>
      </c>
      <c r="AP34" s="693">
        <f>ROUND(AP33*$B23,2)</f>
        <v>0</v>
      </c>
      <c r="AQ34" s="695">
        <f>ROUND(AQ33*AP23,2)</f>
        <v>0</v>
      </c>
      <c r="AR34" s="695">
        <f>ROUND(AR33*AP23,2)</f>
        <v>0</v>
      </c>
    </row>
    <row r="35" spans="1:44" ht="16" thickBot="1">
      <c r="A35" s="668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  <c r="Q35" s="668"/>
      <c r="R35" s="668"/>
      <c r="S35" s="668"/>
      <c r="T35" s="551"/>
      <c r="U35" s="668"/>
      <c r="V35" s="668"/>
      <c r="W35" s="668"/>
      <c r="X35" s="668"/>
      <c r="Z35" s="668"/>
      <c r="AA35" s="668"/>
      <c r="AB35" s="668"/>
      <c r="AC35" s="668"/>
      <c r="AE35" s="668"/>
      <c r="AF35" s="668"/>
      <c r="AG35" s="668"/>
      <c r="AH35" s="668"/>
      <c r="AJ35" s="668"/>
      <c r="AK35" s="668"/>
      <c r="AL35" s="668"/>
      <c r="AM35" s="668"/>
      <c r="AO35" s="668"/>
      <c r="AP35" s="668"/>
      <c r="AQ35" s="668"/>
      <c r="AR35" s="668"/>
    </row>
    <row r="36" spans="1:44" ht="16" thickBot="1">
      <c r="A36" s="668"/>
      <c r="B36" s="668"/>
      <c r="C36" s="674" t="s">
        <v>754</v>
      </c>
      <c r="D36" s="675" t="s">
        <v>755</v>
      </c>
      <c r="E36" s="668"/>
      <c r="F36" s="668"/>
      <c r="G36" s="668"/>
      <c r="H36" s="674" t="s">
        <v>754</v>
      </c>
      <c r="I36" s="675" t="s">
        <v>755</v>
      </c>
      <c r="J36" s="668"/>
      <c r="K36" s="668"/>
      <c r="L36" s="668"/>
      <c r="M36" s="674" t="s">
        <v>754</v>
      </c>
      <c r="N36" s="675" t="s">
        <v>755</v>
      </c>
      <c r="O36" s="668"/>
      <c r="P36" s="668"/>
      <c r="Q36" s="668"/>
      <c r="R36" s="674" t="s">
        <v>754</v>
      </c>
      <c r="S36" s="675" t="s">
        <v>755</v>
      </c>
      <c r="T36" s="551"/>
      <c r="U36" s="668"/>
      <c r="V36" s="668"/>
      <c r="W36" s="674" t="s">
        <v>754</v>
      </c>
      <c r="X36" s="675" t="s">
        <v>755</v>
      </c>
      <c r="Z36" s="668"/>
      <c r="AA36" s="668"/>
      <c r="AB36" s="674" t="s">
        <v>754</v>
      </c>
      <c r="AC36" s="675" t="s">
        <v>755</v>
      </c>
      <c r="AE36" s="668"/>
      <c r="AF36" s="668"/>
      <c r="AG36" s="674" t="s">
        <v>754</v>
      </c>
      <c r="AH36" s="675" t="s">
        <v>755</v>
      </c>
      <c r="AJ36" s="668"/>
      <c r="AK36" s="668"/>
      <c r="AL36" s="674" t="s">
        <v>754</v>
      </c>
      <c r="AM36" s="675" t="s">
        <v>755</v>
      </c>
      <c r="AO36" s="668"/>
      <c r="AP36" s="668"/>
      <c r="AQ36" s="674" t="s">
        <v>754</v>
      </c>
      <c r="AR36" s="675" t="s">
        <v>755</v>
      </c>
    </row>
    <row r="37" spans="1:44" s="677" customFormat="1" ht="16">
      <c r="A37" s="676" t="s">
        <v>768</v>
      </c>
      <c r="B37" s="1172" t="s">
        <v>18</v>
      </c>
      <c r="C37" s="1176">
        <f>'CB Inputs'!E25</f>
        <v>29.99</v>
      </c>
      <c r="D37" s="1178">
        <f>C37*B40</f>
        <v>1199.5999999999999</v>
      </c>
      <c r="E37" s="1179"/>
      <c r="F37" s="676" t="s">
        <v>768</v>
      </c>
      <c r="G37" s="1172" t="s">
        <v>18</v>
      </c>
      <c r="H37" s="1176">
        <f>'CB Inputs'!E38</f>
        <v>29.99</v>
      </c>
      <c r="I37" s="1178">
        <f>H37*G40</f>
        <v>1199.5999999999999</v>
      </c>
      <c r="J37" s="1179"/>
      <c r="K37" s="676" t="s">
        <v>768</v>
      </c>
      <c r="L37" s="1172" t="s">
        <v>18</v>
      </c>
      <c r="M37" s="1176">
        <f>'CB Inputs'!E51</f>
        <v>34.99</v>
      </c>
      <c r="N37" s="1178">
        <f>M37*L40</f>
        <v>1399.6000000000001</v>
      </c>
      <c r="O37" s="1180"/>
      <c r="P37" s="676" t="s">
        <v>768</v>
      </c>
      <c r="Q37" s="1172" t="s">
        <v>18</v>
      </c>
      <c r="R37" s="1176">
        <f>'CB Inputs'!E64</f>
        <v>34.99</v>
      </c>
      <c r="S37" s="1178">
        <f>R37*Q40</f>
        <v>1399.6000000000001</v>
      </c>
      <c r="T37" s="569"/>
      <c r="U37" s="676" t="s">
        <v>768</v>
      </c>
      <c r="V37" s="1172" t="s">
        <v>18</v>
      </c>
      <c r="W37" s="1176">
        <f>'CB Inputs'!E77</f>
        <v>34.99</v>
      </c>
      <c r="X37" s="1178">
        <f>W37*V40</f>
        <v>1399.6000000000001</v>
      </c>
      <c r="Z37" s="676" t="s">
        <v>768</v>
      </c>
      <c r="AA37" s="1172" t="s">
        <v>18</v>
      </c>
      <c r="AB37" s="1176">
        <f>'CB Inputs'!E90</f>
        <v>34.99</v>
      </c>
      <c r="AC37" s="1178">
        <f>AB37*AA40</f>
        <v>1399.6000000000001</v>
      </c>
      <c r="AE37" s="676" t="s">
        <v>768</v>
      </c>
      <c r="AF37" s="1172" t="s">
        <v>18</v>
      </c>
      <c r="AG37" s="1176">
        <f>'CB Inputs'!E103</f>
        <v>0</v>
      </c>
      <c r="AH37" s="1178">
        <f>AG37*AF40</f>
        <v>0</v>
      </c>
      <c r="AJ37" s="676" t="s">
        <v>768</v>
      </c>
      <c r="AK37" s="1172" t="s">
        <v>18</v>
      </c>
      <c r="AL37" s="1176">
        <f>'CB Inputs'!E116</f>
        <v>0</v>
      </c>
      <c r="AM37" s="1178">
        <f>AL37*AK40</f>
        <v>0</v>
      </c>
      <c r="AO37" s="676" t="s">
        <v>768</v>
      </c>
      <c r="AP37" s="1172" t="s">
        <v>18</v>
      </c>
      <c r="AQ37" s="1176">
        <f>'CB Inputs'!E129</f>
        <v>0</v>
      </c>
      <c r="AR37" s="1178">
        <f>AQ37*AP40</f>
        <v>0</v>
      </c>
    </row>
    <row r="38" spans="1:44" s="677" customFormat="1" ht="16" thickBot="1">
      <c r="A38" s="678" t="s">
        <v>769</v>
      </c>
      <c r="B38" s="1173"/>
      <c r="C38" s="1177"/>
      <c r="D38" s="1175"/>
      <c r="E38" s="1179"/>
      <c r="F38" s="678" t="s">
        <v>769</v>
      </c>
      <c r="G38" s="1173"/>
      <c r="H38" s="1177"/>
      <c r="I38" s="1175"/>
      <c r="J38" s="1179"/>
      <c r="K38" s="678" t="s">
        <v>769</v>
      </c>
      <c r="L38" s="1173"/>
      <c r="M38" s="1177"/>
      <c r="N38" s="1175"/>
      <c r="O38" s="1180"/>
      <c r="P38" s="678" t="s">
        <v>769</v>
      </c>
      <c r="Q38" s="1173"/>
      <c r="R38" s="1177"/>
      <c r="S38" s="1175"/>
      <c r="T38" s="569"/>
      <c r="U38" s="678" t="s">
        <v>769</v>
      </c>
      <c r="V38" s="1173"/>
      <c r="W38" s="1177"/>
      <c r="X38" s="1175"/>
      <c r="Z38" s="678" t="s">
        <v>769</v>
      </c>
      <c r="AA38" s="1173"/>
      <c r="AB38" s="1177"/>
      <c r="AC38" s="1175"/>
      <c r="AE38" s="678" t="s">
        <v>769</v>
      </c>
      <c r="AF38" s="1173"/>
      <c r="AG38" s="1177"/>
      <c r="AH38" s="1175"/>
      <c r="AJ38" s="678" t="s">
        <v>769</v>
      </c>
      <c r="AK38" s="1173"/>
      <c r="AL38" s="1177"/>
      <c r="AM38" s="1175"/>
      <c r="AO38" s="678" t="s">
        <v>769</v>
      </c>
      <c r="AP38" s="1173"/>
      <c r="AQ38" s="1177"/>
      <c r="AR38" s="1175"/>
    </row>
    <row r="39" spans="1:44" ht="16" thickBot="1">
      <c r="A39" s="679" t="s">
        <v>758</v>
      </c>
      <c r="B39" s="680">
        <f>'CB Inputs'!G25</f>
        <v>500</v>
      </c>
      <c r="C39" s="681"/>
      <c r="D39" s="681"/>
      <c r="E39" s="668"/>
      <c r="F39" s="679" t="s">
        <v>758</v>
      </c>
      <c r="G39" s="680">
        <f>'CB Inputs'!G38</f>
        <v>750</v>
      </c>
      <c r="H39" s="681"/>
      <c r="I39" s="681"/>
      <c r="J39" s="668"/>
      <c r="K39" s="679" t="s">
        <v>758</v>
      </c>
      <c r="L39" s="680">
        <f>'CB Inputs'!G51</f>
        <v>525</v>
      </c>
      <c r="M39" s="681"/>
      <c r="N39" s="681"/>
      <c r="O39" s="668"/>
      <c r="P39" s="679" t="s">
        <v>758</v>
      </c>
      <c r="Q39" s="680">
        <f>'CB Inputs'!G64</f>
        <v>525</v>
      </c>
      <c r="R39" s="681"/>
      <c r="S39" s="681"/>
      <c r="T39" s="551"/>
      <c r="U39" s="679" t="s">
        <v>758</v>
      </c>
      <c r="V39" s="680">
        <f>'CB Inputs'!G77</f>
        <v>550</v>
      </c>
      <c r="W39" s="681"/>
      <c r="X39" s="681"/>
      <c r="Z39" s="679" t="s">
        <v>758</v>
      </c>
      <c r="AA39" s="680">
        <f>'CB Inputs'!G90</f>
        <v>550</v>
      </c>
      <c r="AB39" s="681"/>
      <c r="AC39" s="681"/>
      <c r="AE39" s="679" t="s">
        <v>758</v>
      </c>
      <c r="AF39" s="680">
        <f>'CB Inputs'!G103</f>
        <v>0</v>
      </c>
      <c r="AG39" s="681"/>
      <c r="AH39" s="681"/>
      <c r="AJ39" s="679" t="s">
        <v>758</v>
      </c>
      <c r="AK39" s="680">
        <f>'CB Inputs'!G116</f>
        <v>0</v>
      </c>
      <c r="AL39" s="681"/>
      <c r="AM39" s="681"/>
      <c r="AO39" s="679" t="s">
        <v>758</v>
      </c>
      <c r="AP39" s="680">
        <f>'CB Inputs'!G129</f>
        <v>0</v>
      </c>
      <c r="AQ39" s="681"/>
      <c r="AR39" s="681"/>
    </row>
    <row r="40" spans="1:44" ht="17" thickBot="1">
      <c r="A40" s="682" t="s">
        <v>188</v>
      </c>
      <c r="B40" s="681">
        <f>'CB Inputs'!I25</f>
        <v>40</v>
      </c>
      <c r="C40" s="681"/>
      <c r="D40" s="683"/>
      <c r="E40" s="668"/>
      <c r="F40" s="682" t="s">
        <v>188</v>
      </c>
      <c r="G40" s="681">
        <f>'CB Inputs'!I38</f>
        <v>40</v>
      </c>
      <c r="H40" s="681"/>
      <c r="I40" s="683"/>
      <c r="J40" s="668"/>
      <c r="K40" s="682" t="s">
        <v>188</v>
      </c>
      <c r="L40" s="681">
        <f>'CB Inputs'!I51</f>
        <v>40</v>
      </c>
      <c r="M40" s="681"/>
      <c r="N40" s="683"/>
      <c r="O40" s="668"/>
      <c r="P40" s="682" t="s">
        <v>188</v>
      </c>
      <c r="Q40" s="681">
        <f>'CB Inputs'!I64</f>
        <v>40</v>
      </c>
      <c r="R40" s="681"/>
      <c r="S40" s="683"/>
      <c r="T40" s="551"/>
      <c r="U40" s="682" t="s">
        <v>188</v>
      </c>
      <c r="V40" s="681">
        <f>'CB Inputs'!I77</f>
        <v>40</v>
      </c>
      <c r="W40" s="681"/>
      <c r="X40" s="683"/>
      <c r="Z40" s="682" t="s">
        <v>188</v>
      </c>
      <c r="AA40" s="681">
        <f>'CB Inputs'!I90</f>
        <v>40</v>
      </c>
      <c r="AB40" s="681"/>
      <c r="AC40" s="683"/>
      <c r="AE40" s="682" t="s">
        <v>188</v>
      </c>
      <c r="AF40" s="681">
        <f>'CB Inputs'!I103</f>
        <v>0</v>
      </c>
      <c r="AG40" s="681"/>
      <c r="AH40" s="683"/>
      <c r="AJ40" s="682" t="s">
        <v>188</v>
      </c>
      <c r="AK40" s="681">
        <f>'CB Inputs'!I116</f>
        <v>0</v>
      </c>
      <c r="AL40" s="681"/>
      <c r="AM40" s="683"/>
      <c r="AO40" s="682" t="s">
        <v>188</v>
      </c>
      <c r="AP40" s="681">
        <f>'CB Inputs'!I129</f>
        <v>0</v>
      </c>
      <c r="AQ40" s="681"/>
      <c r="AR40" s="683"/>
    </row>
    <row r="41" spans="1:44" ht="16" thickBot="1">
      <c r="A41" s="679" t="s">
        <v>759</v>
      </c>
      <c r="B41" s="680">
        <f>B39*B40</f>
        <v>20000</v>
      </c>
      <c r="C41" s="684"/>
      <c r="D41" s="685"/>
      <c r="E41" s="668"/>
      <c r="F41" s="679" t="s">
        <v>759</v>
      </c>
      <c r="G41" s="680">
        <f>G39*G40</f>
        <v>30000</v>
      </c>
      <c r="H41" s="684"/>
      <c r="I41" s="685"/>
      <c r="J41" s="668"/>
      <c r="K41" s="679" t="s">
        <v>759</v>
      </c>
      <c r="L41" s="680">
        <f>L39*L40</f>
        <v>21000</v>
      </c>
      <c r="M41" s="684"/>
      <c r="N41" s="685"/>
      <c r="O41" s="668"/>
      <c r="P41" s="679" t="s">
        <v>759</v>
      </c>
      <c r="Q41" s="680">
        <f>Q39*Q40</f>
        <v>21000</v>
      </c>
      <c r="R41" s="684"/>
      <c r="S41" s="685"/>
      <c r="T41" s="551"/>
      <c r="U41" s="679" t="s">
        <v>759</v>
      </c>
      <c r="V41" s="680">
        <f>V39*V40</f>
        <v>22000</v>
      </c>
      <c r="W41" s="684"/>
      <c r="X41" s="685"/>
      <c r="Z41" s="679" t="s">
        <v>759</v>
      </c>
      <c r="AA41" s="680">
        <f>AA39*AA40</f>
        <v>22000</v>
      </c>
      <c r="AB41" s="684"/>
      <c r="AC41" s="685"/>
      <c r="AE41" s="679" t="s">
        <v>759</v>
      </c>
      <c r="AF41" s="680">
        <f>AF39*AF40</f>
        <v>0</v>
      </c>
      <c r="AG41" s="684"/>
      <c r="AH41" s="685"/>
      <c r="AJ41" s="679" t="s">
        <v>759</v>
      </c>
      <c r="AK41" s="680">
        <f>AK39*AK40</f>
        <v>0</v>
      </c>
      <c r="AL41" s="684"/>
      <c r="AM41" s="685"/>
      <c r="AO41" s="679" t="s">
        <v>759</v>
      </c>
      <c r="AP41" s="680">
        <f>AP39*AP40</f>
        <v>0</v>
      </c>
      <c r="AQ41" s="684"/>
      <c r="AR41" s="685"/>
    </row>
    <row r="42" spans="1:44" ht="16" thickBot="1">
      <c r="A42" s="679" t="s">
        <v>192</v>
      </c>
      <c r="B42" s="681">
        <f>'CB Inputs'!K25</f>
        <v>8</v>
      </c>
      <c r="C42" s="684"/>
      <c r="D42" s="686"/>
      <c r="E42" s="668"/>
      <c r="F42" s="679" t="s">
        <v>192</v>
      </c>
      <c r="G42" s="681">
        <f>'CB Inputs'!K38</f>
        <v>8</v>
      </c>
      <c r="H42" s="684"/>
      <c r="I42" s="686"/>
      <c r="J42" s="668"/>
      <c r="K42" s="679" t="s">
        <v>192</v>
      </c>
      <c r="L42" s="681">
        <f>'CB Inputs'!K51</f>
        <v>8</v>
      </c>
      <c r="M42" s="684"/>
      <c r="N42" s="686"/>
      <c r="O42" s="668"/>
      <c r="P42" s="679" t="s">
        <v>192</v>
      </c>
      <c r="Q42" s="681">
        <f>'CB Inputs'!K64</f>
        <v>8</v>
      </c>
      <c r="R42" s="684"/>
      <c r="S42" s="686"/>
      <c r="U42" s="679" t="s">
        <v>192</v>
      </c>
      <c r="V42" s="681">
        <f>'CB Inputs'!K77</f>
        <v>8</v>
      </c>
      <c r="W42" s="684"/>
      <c r="X42" s="686"/>
      <c r="Z42" s="679" t="s">
        <v>192</v>
      </c>
      <c r="AA42" s="681">
        <f>'CB Inputs'!K90</f>
        <v>8</v>
      </c>
      <c r="AB42" s="684"/>
      <c r="AC42" s="686"/>
      <c r="AE42" s="679" t="s">
        <v>192</v>
      </c>
      <c r="AF42" s="681">
        <f>'CB Inputs'!K103</f>
        <v>0</v>
      </c>
      <c r="AG42" s="684"/>
      <c r="AH42" s="686"/>
      <c r="AJ42" s="679" t="s">
        <v>192</v>
      </c>
      <c r="AK42" s="681">
        <f>'CB Inputs'!K116</f>
        <v>0</v>
      </c>
      <c r="AL42" s="684"/>
      <c r="AM42" s="686"/>
      <c r="AO42" s="679" t="s">
        <v>192</v>
      </c>
      <c r="AP42" s="681">
        <f>'CB Inputs'!K129</f>
        <v>0</v>
      </c>
      <c r="AQ42" s="684"/>
      <c r="AR42" s="686"/>
    </row>
    <row r="43" spans="1:44" ht="16" thickBot="1">
      <c r="A43" s="687" t="s">
        <v>195</v>
      </c>
      <c r="B43" s="681">
        <f>'CB Inputs'!M25</f>
        <v>4</v>
      </c>
      <c r="C43" s="681"/>
      <c r="D43" s="681"/>
      <c r="E43" s="668"/>
      <c r="F43" s="687" t="s">
        <v>195</v>
      </c>
      <c r="G43" s="681">
        <f>'CB Inputs'!M38</f>
        <v>4</v>
      </c>
      <c r="H43" s="681"/>
      <c r="I43" s="681"/>
      <c r="J43" s="668"/>
      <c r="K43" s="687" t="s">
        <v>195</v>
      </c>
      <c r="L43" s="681">
        <f>'CB Inputs'!M51</f>
        <v>4</v>
      </c>
      <c r="M43" s="681"/>
      <c r="N43" s="681"/>
      <c r="O43" s="668"/>
      <c r="P43" s="687" t="s">
        <v>195</v>
      </c>
      <c r="Q43" s="681">
        <f>'CB Inputs'!M64</f>
        <v>4</v>
      </c>
      <c r="R43" s="681"/>
      <c r="S43" s="681"/>
      <c r="U43" s="687" t="s">
        <v>195</v>
      </c>
      <c r="V43" s="681">
        <f>'CB Inputs'!M77</f>
        <v>4</v>
      </c>
      <c r="W43" s="681"/>
      <c r="X43" s="681"/>
      <c r="Z43" s="687" t="s">
        <v>195</v>
      </c>
      <c r="AA43" s="681">
        <f>'CB Inputs'!M90</f>
        <v>4</v>
      </c>
      <c r="AB43" s="681"/>
      <c r="AC43" s="681"/>
      <c r="AE43" s="687" t="s">
        <v>195</v>
      </c>
      <c r="AF43" s="681">
        <f>'CB Inputs'!M103</f>
        <v>0</v>
      </c>
      <c r="AG43" s="681"/>
      <c r="AH43" s="681"/>
      <c r="AJ43" s="687" t="s">
        <v>195</v>
      </c>
      <c r="AK43" s="681">
        <f>'CB Inputs'!M116</f>
        <v>0</v>
      </c>
      <c r="AL43" s="681"/>
      <c r="AM43" s="681"/>
      <c r="AO43" s="687" t="s">
        <v>195</v>
      </c>
      <c r="AP43" s="681">
        <f>'CB Inputs'!M129</f>
        <v>0</v>
      </c>
      <c r="AQ43" s="681"/>
      <c r="AR43" s="681"/>
    </row>
    <row r="44" spans="1:44" ht="16" thickBot="1">
      <c r="A44" s="679" t="s">
        <v>761</v>
      </c>
      <c r="B44" s="680">
        <f>B41*B42</f>
        <v>160000</v>
      </c>
      <c r="C44" s="681"/>
      <c r="D44" s="681"/>
      <c r="E44" s="668"/>
      <c r="F44" s="679" t="s">
        <v>761</v>
      </c>
      <c r="G44" s="680">
        <f>G41*G42</f>
        <v>240000</v>
      </c>
      <c r="H44" s="681"/>
      <c r="I44" s="681"/>
      <c r="J44" s="668"/>
      <c r="K44" s="679" t="s">
        <v>761</v>
      </c>
      <c r="L44" s="680">
        <f>L41*L42</f>
        <v>168000</v>
      </c>
      <c r="M44" s="681"/>
      <c r="N44" s="681"/>
      <c r="O44" s="668"/>
      <c r="P44" s="679" t="s">
        <v>761</v>
      </c>
      <c r="Q44" s="680">
        <f>Q41*Q42</f>
        <v>168000</v>
      </c>
      <c r="R44" s="681"/>
      <c r="S44" s="681"/>
      <c r="U44" s="679" t="s">
        <v>761</v>
      </c>
      <c r="V44" s="680">
        <f>V41*V42</f>
        <v>176000</v>
      </c>
      <c r="W44" s="681"/>
      <c r="X44" s="681"/>
      <c r="Z44" s="679" t="s">
        <v>761</v>
      </c>
      <c r="AA44" s="680">
        <f>AA41*AA42</f>
        <v>176000</v>
      </c>
      <c r="AB44" s="681"/>
      <c r="AC44" s="681"/>
      <c r="AE44" s="679" t="s">
        <v>761</v>
      </c>
      <c r="AF44" s="680">
        <f>AF41*AF42</f>
        <v>0</v>
      </c>
      <c r="AG44" s="681"/>
      <c r="AH44" s="681"/>
      <c r="AJ44" s="679" t="s">
        <v>761</v>
      </c>
      <c r="AK44" s="680">
        <f>AK41*AK42</f>
        <v>0</v>
      </c>
      <c r="AL44" s="681"/>
      <c r="AM44" s="681"/>
      <c r="AO44" s="679" t="s">
        <v>761</v>
      </c>
      <c r="AP44" s="680">
        <f>AP41*AP42</f>
        <v>0</v>
      </c>
      <c r="AQ44" s="681"/>
      <c r="AR44" s="681"/>
    </row>
    <row r="45" spans="1:44" ht="16" thickBot="1">
      <c r="A45" s="679" t="s">
        <v>762</v>
      </c>
      <c r="B45" s="680">
        <f>B44*B43</f>
        <v>640000</v>
      </c>
      <c r="C45" s="681"/>
      <c r="D45" s="681"/>
      <c r="E45" s="668"/>
      <c r="F45" s="679" t="s">
        <v>762</v>
      </c>
      <c r="G45" s="680">
        <f>G44*G43</f>
        <v>960000</v>
      </c>
      <c r="H45" s="681"/>
      <c r="I45" s="681"/>
      <c r="J45" s="668"/>
      <c r="K45" s="679" t="s">
        <v>762</v>
      </c>
      <c r="L45" s="680">
        <f>L44*L43</f>
        <v>672000</v>
      </c>
      <c r="M45" s="681"/>
      <c r="N45" s="681"/>
      <c r="O45" s="668"/>
      <c r="P45" s="679" t="s">
        <v>762</v>
      </c>
      <c r="Q45" s="680">
        <f>Q44*Q43</f>
        <v>672000</v>
      </c>
      <c r="R45" s="681"/>
      <c r="S45" s="681"/>
      <c r="U45" s="679" t="s">
        <v>762</v>
      </c>
      <c r="V45" s="680">
        <f>V44*V43</f>
        <v>704000</v>
      </c>
      <c r="W45" s="681"/>
      <c r="X45" s="681"/>
      <c r="Z45" s="679" t="s">
        <v>762</v>
      </c>
      <c r="AA45" s="680">
        <f>AA44*AA43</f>
        <v>704000</v>
      </c>
      <c r="AB45" s="681"/>
      <c r="AC45" s="681"/>
      <c r="AE45" s="679" t="s">
        <v>762</v>
      </c>
      <c r="AF45" s="680">
        <f>AF44*AF43</f>
        <v>0</v>
      </c>
      <c r="AG45" s="681"/>
      <c r="AH45" s="681"/>
      <c r="AJ45" s="679" t="s">
        <v>762</v>
      </c>
      <c r="AK45" s="680">
        <f>AK44*AK43</f>
        <v>0</v>
      </c>
      <c r="AL45" s="681"/>
      <c r="AM45" s="681"/>
      <c r="AO45" s="679" t="s">
        <v>762</v>
      </c>
      <c r="AP45" s="680">
        <f>AP44*AP43</f>
        <v>0</v>
      </c>
      <c r="AQ45" s="681"/>
      <c r="AR45" s="681"/>
    </row>
    <row r="46" spans="1:44" ht="16" thickBot="1">
      <c r="A46" s="679" t="s">
        <v>763</v>
      </c>
      <c r="B46" s="688">
        <f>C50/B45</f>
        <v>0.46859374999999998</v>
      </c>
      <c r="C46" s="681"/>
      <c r="D46" s="689"/>
      <c r="E46" s="668"/>
      <c r="F46" s="679" t="s">
        <v>763</v>
      </c>
      <c r="G46" s="688">
        <f>H50/G45</f>
        <v>0.46859374999999998</v>
      </c>
      <c r="H46" s="681"/>
      <c r="I46" s="689"/>
      <c r="J46" s="668"/>
      <c r="K46" s="679" t="s">
        <v>763</v>
      </c>
      <c r="L46" s="688">
        <f>M50/L45</f>
        <v>0.54671875000000003</v>
      </c>
      <c r="M46" s="681"/>
      <c r="N46" s="689"/>
      <c r="O46" s="668"/>
      <c r="P46" s="679" t="s">
        <v>763</v>
      </c>
      <c r="Q46" s="688">
        <f>R50/Q45</f>
        <v>0.54671875000000003</v>
      </c>
      <c r="R46" s="681"/>
      <c r="S46" s="689"/>
      <c r="U46" s="679" t="s">
        <v>763</v>
      </c>
      <c r="V46" s="688">
        <f>W50/V45</f>
        <v>0.54671875000000003</v>
      </c>
      <c r="W46" s="681"/>
      <c r="X46" s="689"/>
      <c r="Z46" s="679" t="s">
        <v>763</v>
      </c>
      <c r="AA46" s="688">
        <f>AB50/AA45</f>
        <v>0.54671875000000003</v>
      </c>
      <c r="AB46" s="681"/>
      <c r="AC46" s="689"/>
      <c r="AE46" s="679" t="s">
        <v>763</v>
      </c>
      <c r="AF46" s="688" t="e">
        <f>AG50/AF45</f>
        <v>#DIV/0!</v>
      </c>
      <c r="AG46" s="681"/>
      <c r="AH46" s="689"/>
      <c r="AJ46" s="679" t="s">
        <v>763</v>
      </c>
      <c r="AK46" s="688" t="e">
        <f>AL50/AK45</f>
        <v>#DIV/0!</v>
      </c>
      <c r="AL46" s="681"/>
      <c r="AM46" s="689"/>
      <c r="AO46" s="679" t="s">
        <v>763</v>
      </c>
      <c r="AP46" s="688" t="e">
        <f>AQ50/AP45</f>
        <v>#DIV/0!</v>
      </c>
      <c r="AQ46" s="681"/>
      <c r="AR46" s="689"/>
    </row>
    <row r="47" spans="1:44" ht="16" thickBot="1">
      <c r="A47" s="690"/>
      <c r="B47" s="691" t="s">
        <v>250</v>
      </c>
      <c r="C47" s="691" t="s">
        <v>764</v>
      </c>
      <c r="D47" s="691" t="s">
        <v>18</v>
      </c>
      <c r="E47" s="668"/>
      <c r="F47" s="690"/>
      <c r="G47" s="691" t="s">
        <v>250</v>
      </c>
      <c r="H47" s="691" t="s">
        <v>764</v>
      </c>
      <c r="I47" s="691" t="s">
        <v>18</v>
      </c>
      <c r="J47" s="668"/>
      <c r="K47" s="690"/>
      <c r="L47" s="691" t="s">
        <v>250</v>
      </c>
      <c r="M47" s="691" t="s">
        <v>764</v>
      </c>
      <c r="N47" s="691" t="s">
        <v>18</v>
      </c>
      <c r="O47" s="668"/>
      <c r="P47" s="690"/>
      <c r="Q47" s="691" t="s">
        <v>250</v>
      </c>
      <c r="R47" s="691" t="s">
        <v>764</v>
      </c>
      <c r="S47" s="691" t="s">
        <v>18</v>
      </c>
      <c r="U47" s="690"/>
      <c r="V47" s="691" t="s">
        <v>250</v>
      </c>
      <c r="W47" s="691" t="s">
        <v>764</v>
      </c>
      <c r="X47" s="691" t="s">
        <v>18</v>
      </c>
      <c r="Z47" s="690"/>
      <c r="AA47" s="691" t="s">
        <v>250</v>
      </c>
      <c r="AB47" s="691" t="s">
        <v>764</v>
      </c>
      <c r="AC47" s="691" t="s">
        <v>18</v>
      </c>
      <c r="AE47" s="690"/>
      <c r="AF47" s="691" t="s">
        <v>250</v>
      </c>
      <c r="AG47" s="691" t="s">
        <v>764</v>
      </c>
      <c r="AH47" s="691" t="s">
        <v>18</v>
      </c>
      <c r="AJ47" s="690"/>
      <c r="AK47" s="691" t="s">
        <v>250</v>
      </c>
      <c r="AL47" s="691" t="s">
        <v>764</v>
      </c>
      <c r="AM47" s="691" t="s">
        <v>18</v>
      </c>
      <c r="AO47" s="690"/>
      <c r="AP47" s="691" t="s">
        <v>250</v>
      </c>
      <c r="AQ47" s="691" t="s">
        <v>764</v>
      </c>
      <c r="AR47" s="691" t="s">
        <v>18</v>
      </c>
    </row>
    <row r="48" spans="1:44" ht="16" thickBot="1">
      <c r="A48" s="692" t="s">
        <v>765</v>
      </c>
      <c r="B48" s="693">
        <f>ROUND(C48*$B$89,2)</f>
        <v>7.5</v>
      </c>
      <c r="C48" s="694">
        <f>ROUND(D48*'CB Inputs'!$G$11,2)</f>
        <v>15</v>
      </c>
      <c r="D48" s="694">
        <f>C37</f>
        <v>29.99</v>
      </c>
      <c r="E48" s="668"/>
      <c r="F48" s="692" t="s">
        <v>765</v>
      </c>
      <c r="G48" s="693">
        <f>ROUND(H48*$B$89,2)</f>
        <v>7.5</v>
      </c>
      <c r="H48" s="694">
        <f>ROUND(I48*'CB Inputs'!$G$11,2)</f>
        <v>15</v>
      </c>
      <c r="I48" s="694">
        <f>H37</f>
        <v>29.99</v>
      </c>
      <c r="J48" s="668"/>
      <c r="K48" s="692" t="s">
        <v>765</v>
      </c>
      <c r="L48" s="693">
        <f>ROUND(M48*$B$89,2)</f>
        <v>8.75</v>
      </c>
      <c r="M48" s="694">
        <f>ROUND(N48*'CB Inputs'!$G$11,2)</f>
        <v>17.5</v>
      </c>
      <c r="N48" s="694">
        <f>M37</f>
        <v>34.99</v>
      </c>
      <c r="O48" s="668"/>
      <c r="P48" s="692" t="s">
        <v>765</v>
      </c>
      <c r="Q48" s="693">
        <f>ROUND(R48*$B$89,2)</f>
        <v>8.75</v>
      </c>
      <c r="R48" s="694">
        <f>ROUND(S48*'CB Inputs'!$G$11,2)</f>
        <v>17.5</v>
      </c>
      <c r="S48" s="694">
        <f>R37</f>
        <v>34.99</v>
      </c>
      <c r="U48" s="692" t="s">
        <v>765</v>
      </c>
      <c r="V48" s="693">
        <f>ROUND(W48*$B$89,2)</f>
        <v>8.75</v>
      </c>
      <c r="W48" s="694">
        <f>ROUND(X48*'CB Inputs'!$G$11,2)</f>
        <v>17.5</v>
      </c>
      <c r="X48" s="694">
        <f>W37</f>
        <v>34.99</v>
      </c>
      <c r="Z48" s="692" t="s">
        <v>765</v>
      </c>
      <c r="AA48" s="693">
        <f>ROUND(AB48*$B$89,2)</f>
        <v>8.75</v>
      </c>
      <c r="AB48" s="694">
        <f>ROUND(AC48*'CB Inputs'!$G$11,2)</f>
        <v>17.5</v>
      </c>
      <c r="AC48" s="694">
        <f>AB37</f>
        <v>34.99</v>
      </c>
      <c r="AE48" s="692" t="s">
        <v>765</v>
      </c>
      <c r="AF48" s="693">
        <f>ROUND(AG48*$B$89,2)</f>
        <v>0</v>
      </c>
      <c r="AG48" s="694">
        <f>ROUND(AH48*'CB Inputs'!$G$11,2)</f>
        <v>0</v>
      </c>
      <c r="AH48" s="694">
        <f>AG37</f>
        <v>0</v>
      </c>
      <c r="AJ48" s="692" t="s">
        <v>765</v>
      </c>
      <c r="AK48" s="693">
        <f>ROUND(AL48*$B$89,2)</f>
        <v>0</v>
      </c>
      <c r="AL48" s="694">
        <f>ROUND(AM48*'CB Inputs'!$G$11,2)</f>
        <v>0</v>
      </c>
      <c r="AM48" s="694">
        <f>AL37</f>
        <v>0</v>
      </c>
      <c r="AO48" s="692" t="s">
        <v>765</v>
      </c>
      <c r="AP48" s="693">
        <f>ROUND(AQ48*$B$89,2)</f>
        <v>0</v>
      </c>
      <c r="AQ48" s="694">
        <f>ROUND(AR48*'CB Inputs'!$G$11,2)</f>
        <v>0</v>
      </c>
      <c r="AR48" s="694">
        <f>AQ37</f>
        <v>0</v>
      </c>
    </row>
    <row r="49" spans="1:44" ht="16" thickBot="1">
      <c r="A49" s="692" t="s">
        <v>766</v>
      </c>
      <c r="B49" s="693">
        <f>ROUND(C49*$B$89,2)</f>
        <v>299.89999999999998</v>
      </c>
      <c r="C49" s="695">
        <f>ROUND(D49*'CB Inputs'!$G$11,2)</f>
        <v>599.79999999999995</v>
      </c>
      <c r="D49" s="695">
        <f>ROUND(D48*B40,2)</f>
        <v>1199.5999999999999</v>
      </c>
      <c r="E49" s="668"/>
      <c r="F49" s="692" t="s">
        <v>766</v>
      </c>
      <c r="G49" s="693">
        <f>ROUND(H49*$B$89,2)</f>
        <v>299.89999999999998</v>
      </c>
      <c r="H49" s="695">
        <f>ROUND(I49*'CB Inputs'!$G$11,2)</f>
        <v>599.79999999999995</v>
      </c>
      <c r="I49" s="695">
        <f>ROUND(I48*G40,2)</f>
        <v>1199.5999999999999</v>
      </c>
      <c r="J49" s="668"/>
      <c r="K49" s="692" t="s">
        <v>766</v>
      </c>
      <c r="L49" s="693">
        <f>ROUND(M49*$B$89,2)</f>
        <v>349.9</v>
      </c>
      <c r="M49" s="695">
        <f>ROUND(N49*'CB Inputs'!$G$11,2)</f>
        <v>699.8</v>
      </c>
      <c r="N49" s="695">
        <f>ROUND(N48*L40,2)</f>
        <v>1399.6</v>
      </c>
      <c r="O49" s="668"/>
      <c r="P49" s="692" t="s">
        <v>766</v>
      </c>
      <c r="Q49" s="693">
        <f>ROUND(R49*$B$89,2)</f>
        <v>349.9</v>
      </c>
      <c r="R49" s="695">
        <f>ROUND(S49*'CB Inputs'!$G$11,2)</f>
        <v>699.8</v>
      </c>
      <c r="S49" s="695">
        <f>ROUND(S48*Q40,2)</f>
        <v>1399.6</v>
      </c>
      <c r="U49" s="692" t="s">
        <v>766</v>
      </c>
      <c r="V49" s="693">
        <f>ROUND(W49*$B$89,2)</f>
        <v>349.9</v>
      </c>
      <c r="W49" s="695">
        <f>ROUND(X49*'CB Inputs'!$G$11,2)</f>
        <v>699.8</v>
      </c>
      <c r="X49" s="695">
        <f>ROUND(X48*V40,2)</f>
        <v>1399.6</v>
      </c>
      <c r="Z49" s="692" t="s">
        <v>766</v>
      </c>
      <c r="AA49" s="693">
        <f>ROUND(AB49*$B$89,2)</f>
        <v>349.9</v>
      </c>
      <c r="AB49" s="695">
        <f>ROUND(AC49*'CB Inputs'!$G$11,2)</f>
        <v>699.8</v>
      </c>
      <c r="AC49" s="695">
        <f>ROUND(AC48*AA40,2)</f>
        <v>1399.6</v>
      </c>
      <c r="AE49" s="692" t="s">
        <v>766</v>
      </c>
      <c r="AF49" s="693">
        <f>ROUND(AG49*$B$89,2)</f>
        <v>0</v>
      </c>
      <c r="AG49" s="695">
        <f>ROUND(AH49*'CB Inputs'!$G$11,2)</f>
        <v>0</v>
      </c>
      <c r="AH49" s="695">
        <f>ROUND(AH48*AF40,2)</f>
        <v>0</v>
      </c>
      <c r="AJ49" s="692" t="s">
        <v>766</v>
      </c>
      <c r="AK49" s="693">
        <f>ROUND(AL49*$B$89,2)</f>
        <v>0</v>
      </c>
      <c r="AL49" s="695">
        <f>ROUND(AM49*'CB Inputs'!$G$11,2)</f>
        <v>0</v>
      </c>
      <c r="AM49" s="695">
        <f>ROUND(AM48*AK40,2)</f>
        <v>0</v>
      </c>
      <c r="AO49" s="692" t="s">
        <v>766</v>
      </c>
      <c r="AP49" s="693">
        <f>ROUND(AQ49*$B$89,2)</f>
        <v>0</v>
      </c>
      <c r="AQ49" s="695">
        <f>ROUND(AR49*'CB Inputs'!$G$11,2)</f>
        <v>0</v>
      </c>
      <c r="AR49" s="695">
        <f>ROUND(AR48*AP40,2)</f>
        <v>0</v>
      </c>
    </row>
    <row r="50" spans="1:44" ht="16" thickBot="1">
      <c r="A50" s="692" t="s">
        <v>767</v>
      </c>
      <c r="B50" s="693">
        <f>ROUND(B49*$B39,2)</f>
        <v>149950</v>
      </c>
      <c r="C50" s="695">
        <f>ROUND(C49*B39,2)</f>
        <v>299900</v>
      </c>
      <c r="D50" s="695">
        <f>ROUND(D49*B39,2)</f>
        <v>599800</v>
      </c>
      <c r="E50" s="668"/>
      <c r="F50" s="692" t="s">
        <v>767</v>
      </c>
      <c r="G50" s="693">
        <f>ROUND(G49*$B39,2)</f>
        <v>149950</v>
      </c>
      <c r="H50" s="695">
        <f>ROUND(H49*G39,2)</f>
        <v>449850</v>
      </c>
      <c r="I50" s="695">
        <f>ROUND(I49*G39,2)</f>
        <v>899700</v>
      </c>
      <c r="J50" s="668"/>
      <c r="K50" s="692" t="s">
        <v>767</v>
      </c>
      <c r="L50" s="693">
        <f>ROUND(L49*$B39,2)</f>
        <v>174950</v>
      </c>
      <c r="M50" s="695">
        <f>ROUND(M49*L39,2)</f>
        <v>367395</v>
      </c>
      <c r="N50" s="695">
        <f>ROUND(N49*L39,2)</f>
        <v>734790</v>
      </c>
      <c r="O50" s="668"/>
      <c r="P50" s="692" t="s">
        <v>767</v>
      </c>
      <c r="Q50" s="693">
        <f>ROUND(Q49*$B39,2)</f>
        <v>174950</v>
      </c>
      <c r="R50" s="695">
        <f>ROUND(R49*Q39,2)</f>
        <v>367395</v>
      </c>
      <c r="S50" s="695">
        <f>ROUND(S49*Q39,2)</f>
        <v>734790</v>
      </c>
      <c r="U50" s="692" t="s">
        <v>767</v>
      </c>
      <c r="V50" s="693">
        <f>ROUND(V49*$B39,2)</f>
        <v>174950</v>
      </c>
      <c r="W50" s="695">
        <f>ROUND(W49*V39,2)</f>
        <v>384890</v>
      </c>
      <c r="X50" s="695">
        <f>ROUND(X49*V39,2)</f>
        <v>769780</v>
      </c>
      <c r="Z50" s="692" t="s">
        <v>767</v>
      </c>
      <c r="AA50" s="693">
        <f>ROUND(AA49*$B39,2)</f>
        <v>174950</v>
      </c>
      <c r="AB50" s="695">
        <f>ROUND(AB49*AA39,2)</f>
        <v>384890</v>
      </c>
      <c r="AC50" s="695">
        <f>ROUND(AC49*AA39,2)</f>
        <v>769780</v>
      </c>
      <c r="AE50" s="692" t="s">
        <v>767</v>
      </c>
      <c r="AF50" s="693">
        <f>ROUND(AF49*$B39,2)</f>
        <v>0</v>
      </c>
      <c r="AG50" s="695">
        <f>ROUND(AG49*AF39,2)</f>
        <v>0</v>
      </c>
      <c r="AH50" s="695">
        <f>ROUND(AH49*AF39,2)</f>
        <v>0</v>
      </c>
      <c r="AJ50" s="692" t="s">
        <v>767</v>
      </c>
      <c r="AK50" s="693">
        <f>ROUND(AK49*$B39,2)</f>
        <v>0</v>
      </c>
      <c r="AL50" s="695">
        <f>ROUND(AL49*AK39,2)</f>
        <v>0</v>
      </c>
      <c r="AM50" s="695">
        <f>ROUND(AM49*AK39,2)</f>
        <v>0</v>
      </c>
      <c r="AO50" s="692" t="s">
        <v>767</v>
      </c>
      <c r="AP50" s="693">
        <f>ROUND(AP49*$B39,2)</f>
        <v>0</v>
      </c>
      <c r="AQ50" s="695">
        <f>ROUND(AQ49*AP39,2)</f>
        <v>0</v>
      </c>
      <c r="AR50" s="695">
        <f>ROUND(AR49*AP39,2)</f>
        <v>0</v>
      </c>
    </row>
    <row r="51" spans="1:44" ht="16" thickBot="1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8"/>
      <c r="P51" s="668"/>
      <c r="Q51" s="668"/>
      <c r="R51" s="668"/>
      <c r="S51" s="668"/>
      <c r="U51" s="668"/>
      <c r="V51" s="668"/>
      <c r="W51" s="668"/>
      <c r="X51" s="668"/>
      <c r="Z51" s="668"/>
      <c r="AA51" s="668"/>
      <c r="AB51" s="668"/>
      <c r="AC51" s="668"/>
      <c r="AE51" s="668"/>
      <c r="AF51" s="668"/>
      <c r="AG51" s="668"/>
      <c r="AH51" s="668"/>
      <c r="AJ51" s="668"/>
      <c r="AK51" s="668"/>
      <c r="AL51" s="668"/>
      <c r="AM51" s="668"/>
      <c r="AO51" s="668"/>
      <c r="AP51" s="668"/>
      <c r="AQ51" s="668"/>
      <c r="AR51" s="668"/>
    </row>
    <row r="52" spans="1:44" ht="16" thickBot="1">
      <c r="A52" s="668"/>
      <c r="B52" s="668"/>
      <c r="C52" s="674" t="s">
        <v>754</v>
      </c>
      <c r="D52" s="675" t="s">
        <v>755</v>
      </c>
      <c r="E52" s="668"/>
      <c r="F52" s="668"/>
      <c r="G52" s="668"/>
      <c r="H52" s="674" t="s">
        <v>754</v>
      </c>
      <c r="I52" s="675" t="s">
        <v>755</v>
      </c>
      <c r="J52" s="668"/>
      <c r="K52" s="668"/>
      <c r="L52" s="668"/>
      <c r="M52" s="674" t="s">
        <v>754</v>
      </c>
      <c r="N52" s="675" t="s">
        <v>755</v>
      </c>
      <c r="O52" s="668"/>
      <c r="P52" s="668"/>
      <c r="Q52" s="668"/>
      <c r="R52" s="674" t="s">
        <v>754</v>
      </c>
      <c r="S52" s="675" t="s">
        <v>755</v>
      </c>
      <c r="U52" s="668"/>
      <c r="V52" s="668"/>
      <c r="W52" s="674" t="s">
        <v>754</v>
      </c>
      <c r="X52" s="675" t="s">
        <v>755</v>
      </c>
      <c r="Z52" s="668"/>
      <c r="AA52" s="668"/>
      <c r="AB52" s="674" t="s">
        <v>754</v>
      </c>
      <c r="AC52" s="675" t="s">
        <v>755</v>
      </c>
      <c r="AE52" s="668"/>
      <c r="AF52" s="668"/>
      <c r="AG52" s="674" t="s">
        <v>754</v>
      </c>
      <c r="AH52" s="675" t="s">
        <v>755</v>
      </c>
      <c r="AJ52" s="668"/>
      <c r="AK52" s="668"/>
      <c r="AL52" s="674" t="s">
        <v>754</v>
      </c>
      <c r="AM52" s="675" t="s">
        <v>755</v>
      </c>
      <c r="AO52" s="668"/>
      <c r="AP52" s="668"/>
      <c r="AQ52" s="674" t="s">
        <v>754</v>
      </c>
      <c r="AR52" s="675" t="s">
        <v>755</v>
      </c>
    </row>
    <row r="53" spans="1:44" s="677" customFormat="1" ht="16">
      <c r="A53" s="676" t="s">
        <v>770</v>
      </c>
      <c r="B53" s="1172" t="s">
        <v>18</v>
      </c>
      <c r="C53" s="1176">
        <f>'CB Inputs'!E26</f>
        <v>14.99</v>
      </c>
      <c r="D53" s="1178">
        <f>C53*B56</f>
        <v>359.76</v>
      </c>
      <c r="E53" s="1179"/>
      <c r="F53" s="676" t="s">
        <v>770</v>
      </c>
      <c r="G53" s="1172" t="s">
        <v>18</v>
      </c>
      <c r="H53" s="1176">
        <f>'CB Inputs'!E39</f>
        <v>14.99</v>
      </c>
      <c r="I53" s="1178">
        <f>H53*G56</f>
        <v>359.76</v>
      </c>
      <c r="J53" s="1179"/>
      <c r="K53" s="676" t="s">
        <v>770</v>
      </c>
      <c r="L53" s="1172" t="s">
        <v>18</v>
      </c>
      <c r="M53" s="1176">
        <f>'CB Inputs'!E52</f>
        <v>16.989999999999998</v>
      </c>
      <c r="N53" s="1178">
        <f>M53*L56</f>
        <v>407.76</v>
      </c>
      <c r="O53" s="1180"/>
      <c r="P53" s="676" t="s">
        <v>770</v>
      </c>
      <c r="Q53" s="1172" t="s">
        <v>18</v>
      </c>
      <c r="R53" s="1176">
        <f>'CB Inputs'!E65</f>
        <v>16.989999999999998</v>
      </c>
      <c r="S53" s="1178">
        <f>R53*Q56</f>
        <v>407.76</v>
      </c>
      <c r="U53" s="676" t="s">
        <v>770</v>
      </c>
      <c r="V53" s="1172" t="s">
        <v>18</v>
      </c>
      <c r="W53" s="1176">
        <f>'CB Inputs'!E78</f>
        <v>16.989999999999998</v>
      </c>
      <c r="X53" s="1178">
        <f>W53*V56</f>
        <v>407.76</v>
      </c>
      <c r="Z53" s="676" t="s">
        <v>770</v>
      </c>
      <c r="AA53" s="1172" t="s">
        <v>18</v>
      </c>
      <c r="AB53" s="1176">
        <f>'CB Inputs'!E91</f>
        <v>16.989999999999998</v>
      </c>
      <c r="AC53" s="1178">
        <f>AB53*AA56</f>
        <v>407.76</v>
      </c>
      <c r="AE53" s="676" t="s">
        <v>770</v>
      </c>
      <c r="AF53" s="1172" t="s">
        <v>18</v>
      </c>
      <c r="AG53" s="1176">
        <f>'CB Inputs'!E104</f>
        <v>0</v>
      </c>
      <c r="AH53" s="1178">
        <f>AG53*AF56</f>
        <v>0</v>
      </c>
      <c r="AJ53" s="676" t="s">
        <v>770</v>
      </c>
      <c r="AK53" s="1172" t="s">
        <v>18</v>
      </c>
      <c r="AL53" s="1176">
        <f>'CB Inputs'!E117</f>
        <v>0</v>
      </c>
      <c r="AM53" s="1178">
        <f>AL53*AK56</f>
        <v>0</v>
      </c>
      <c r="AO53" s="676" t="s">
        <v>770</v>
      </c>
      <c r="AP53" s="1172" t="s">
        <v>18</v>
      </c>
      <c r="AQ53" s="1176">
        <f>'CB Inputs'!E130</f>
        <v>0</v>
      </c>
      <c r="AR53" s="1178">
        <f>AQ53*AP56</f>
        <v>0</v>
      </c>
    </row>
    <row r="54" spans="1:44" s="677" customFormat="1" ht="16" thickBot="1">
      <c r="A54" s="678" t="s">
        <v>771</v>
      </c>
      <c r="B54" s="1173"/>
      <c r="C54" s="1177"/>
      <c r="D54" s="1175"/>
      <c r="E54" s="1179"/>
      <c r="F54" s="678" t="s">
        <v>771</v>
      </c>
      <c r="G54" s="1173"/>
      <c r="H54" s="1177"/>
      <c r="I54" s="1175"/>
      <c r="J54" s="1179"/>
      <c r="K54" s="678" t="s">
        <v>771</v>
      </c>
      <c r="L54" s="1173"/>
      <c r="M54" s="1177"/>
      <c r="N54" s="1175"/>
      <c r="O54" s="1180"/>
      <c r="P54" s="678" t="s">
        <v>771</v>
      </c>
      <c r="Q54" s="1173"/>
      <c r="R54" s="1177"/>
      <c r="S54" s="1175"/>
      <c r="U54" s="678" t="s">
        <v>771</v>
      </c>
      <c r="V54" s="1173"/>
      <c r="W54" s="1177"/>
      <c r="X54" s="1175"/>
      <c r="Z54" s="678" t="s">
        <v>771</v>
      </c>
      <c r="AA54" s="1173"/>
      <c r="AB54" s="1177"/>
      <c r="AC54" s="1175"/>
      <c r="AE54" s="678" t="s">
        <v>771</v>
      </c>
      <c r="AF54" s="1173"/>
      <c r="AG54" s="1177"/>
      <c r="AH54" s="1175"/>
      <c r="AJ54" s="678" t="s">
        <v>771</v>
      </c>
      <c r="AK54" s="1173"/>
      <c r="AL54" s="1177"/>
      <c r="AM54" s="1175"/>
      <c r="AO54" s="678" t="s">
        <v>771</v>
      </c>
      <c r="AP54" s="1173"/>
      <c r="AQ54" s="1177"/>
      <c r="AR54" s="1175"/>
    </row>
    <row r="55" spans="1:44" ht="16" thickBot="1">
      <c r="A55" s="679" t="s">
        <v>758</v>
      </c>
      <c r="B55" s="681">
        <f>'CB Inputs'!G26</f>
        <v>500</v>
      </c>
      <c r="C55" s="681"/>
      <c r="D55" s="681"/>
      <c r="E55" s="668"/>
      <c r="F55" s="679" t="s">
        <v>758</v>
      </c>
      <c r="G55" s="681">
        <f>'CB Inputs'!G39</f>
        <v>750</v>
      </c>
      <c r="H55" s="681"/>
      <c r="I55" s="681"/>
      <c r="J55" s="668"/>
      <c r="K55" s="679" t="s">
        <v>758</v>
      </c>
      <c r="L55" s="681">
        <f>'CB Inputs'!G52</f>
        <v>525</v>
      </c>
      <c r="M55" s="681"/>
      <c r="N55" s="681"/>
      <c r="O55" s="668"/>
      <c r="P55" s="679" t="s">
        <v>758</v>
      </c>
      <c r="Q55" s="681">
        <f>'CB Inputs'!G65</f>
        <v>525</v>
      </c>
      <c r="R55" s="681"/>
      <c r="S55" s="681"/>
      <c r="U55" s="679" t="s">
        <v>758</v>
      </c>
      <c r="V55" s="681">
        <f>'CB Inputs'!G78</f>
        <v>550</v>
      </c>
      <c r="W55" s="681"/>
      <c r="X55" s="681"/>
      <c r="Z55" s="679" t="s">
        <v>758</v>
      </c>
      <c r="AA55" s="681">
        <f>'CB Inputs'!G91</f>
        <v>550</v>
      </c>
      <c r="AB55" s="681"/>
      <c r="AC55" s="681"/>
      <c r="AE55" s="679" t="s">
        <v>758</v>
      </c>
      <c r="AF55" s="681">
        <f>'CB Inputs'!G104</f>
        <v>0</v>
      </c>
      <c r="AG55" s="681"/>
      <c r="AH55" s="681"/>
      <c r="AJ55" s="679" t="s">
        <v>758</v>
      </c>
      <c r="AK55" s="681">
        <f>'CB Inputs'!G117</f>
        <v>0</v>
      </c>
      <c r="AL55" s="681"/>
      <c r="AM55" s="681"/>
      <c r="AO55" s="679" t="s">
        <v>758</v>
      </c>
      <c r="AP55" s="681">
        <f>'CB Inputs'!G130</f>
        <v>0</v>
      </c>
      <c r="AQ55" s="681"/>
      <c r="AR55" s="681"/>
    </row>
    <row r="56" spans="1:44" ht="17" thickBot="1">
      <c r="A56" s="682" t="s">
        <v>188</v>
      </c>
      <c r="B56" s="681">
        <f>'CB Inputs'!I26</f>
        <v>24</v>
      </c>
      <c r="C56" s="681"/>
      <c r="D56" s="683"/>
      <c r="E56" s="668"/>
      <c r="F56" s="682" t="s">
        <v>188</v>
      </c>
      <c r="G56" s="681">
        <f>'CB Inputs'!I39</f>
        <v>24</v>
      </c>
      <c r="H56" s="681"/>
      <c r="I56" s="683"/>
      <c r="J56" s="668"/>
      <c r="K56" s="682" t="s">
        <v>188</v>
      </c>
      <c r="L56" s="681">
        <f>'CB Inputs'!I52</f>
        <v>24</v>
      </c>
      <c r="M56" s="681"/>
      <c r="N56" s="683"/>
      <c r="O56" s="668"/>
      <c r="P56" s="682" t="s">
        <v>188</v>
      </c>
      <c r="Q56" s="681">
        <f>'CB Inputs'!I65</f>
        <v>24</v>
      </c>
      <c r="R56" s="681"/>
      <c r="S56" s="683"/>
      <c r="U56" s="682" t="s">
        <v>188</v>
      </c>
      <c r="V56" s="681">
        <f>'CB Inputs'!I78</f>
        <v>24</v>
      </c>
      <c r="W56" s="681"/>
      <c r="X56" s="683"/>
      <c r="Z56" s="682" t="s">
        <v>188</v>
      </c>
      <c r="AA56" s="681">
        <f>'CB Inputs'!I91</f>
        <v>24</v>
      </c>
      <c r="AB56" s="681"/>
      <c r="AC56" s="683"/>
      <c r="AE56" s="682" t="s">
        <v>188</v>
      </c>
      <c r="AF56" s="681">
        <f>'CB Inputs'!I104</f>
        <v>0</v>
      </c>
      <c r="AG56" s="681"/>
      <c r="AH56" s="683"/>
      <c r="AJ56" s="682" t="s">
        <v>188</v>
      </c>
      <c r="AK56" s="681">
        <f>'CB Inputs'!I117</f>
        <v>0</v>
      </c>
      <c r="AL56" s="681"/>
      <c r="AM56" s="683"/>
      <c r="AO56" s="682" t="s">
        <v>188</v>
      </c>
      <c r="AP56" s="681">
        <f>'CB Inputs'!I130</f>
        <v>0</v>
      </c>
      <c r="AQ56" s="681"/>
      <c r="AR56" s="683"/>
    </row>
    <row r="57" spans="1:44" ht="16" thickBot="1">
      <c r="A57" s="679" t="s">
        <v>759</v>
      </c>
      <c r="B57" s="680">
        <f>B55*B56</f>
        <v>12000</v>
      </c>
      <c r="C57" s="684"/>
      <c r="D57" s="685"/>
      <c r="E57" s="668"/>
      <c r="F57" s="679" t="s">
        <v>759</v>
      </c>
      <c r="G57" s="680">
        <f>G55*G56</f>
        <v>18000</v>
      </c>
      <c r="H57" s="684"/>
      <c r="I57" s="685"/>
      <c r="J57" s="668"/>
      <c r="K57" s="679" t="s">
        <v>759</v>
      </c>
      <c r="L57" s="680">
        <f>L55*L56</f>
        <v>12600</v>
      </c>
      <c r="M57" s="684"/>
      <c r="N57" s="685"/>
      <c r="O57" s="668"/>
      <c r="P57" s="679" t="s">
        <v>759</v>
      </c>
      <c r="Q57" s="680">
        <f>Q55*Q56</f>
        <v>12600</v>
      </c>
      <c r="R57" s="684"/>
      <c r="S57" s="685"/>
      <c r="U57" s="679" t="s">
        <v>759</v>
      </c>
      <c r="V57" s="680">
        <f>V55*V56</f>
        <v>13200</v>
      </c>
      <c r="W57" s="684"/>
      <c r="X57" s="685"/>
      <c r="Z57" s="679" t="s">
        <v>759</v>
      </c>
      <c r="AA57" s="680">
        <f>AA55*AA56</f>
        <v>13200</v>
      </c>
      <c r="AB57" s="684"/>
      <c r="AC57" s="685"/>
      <c r="AE57" s="679" t="s">
        <v>759</v>
      </c>
      <c r="AF57" s="680">
        <f>AF55*AF56</f>
        <v>0</v>
      </c>
      <c r="AG57" s="684"/>
      <c r="AH57" s="685"/>
      <c r="AJ57" s="679" t="s">
        <v>759</v>
      </c>
      <c r="AK57" s="680">
        <f>AK55*AK56</f>
        <v>0</v>
      </c>
      <c r="AL57" s="684"/>
      <c r="AM57" s="685"/>
      <c r="AO57" s="679" t="s">
        <v>759</v>
      </c>
      <c r="AP57" s="680">
        <f>AP55*AP56</f>
        <v>0</v>
      </c>
      <c r="AQ57" s="684"/>
      <c r="AR57" s="685"/>
    </row>
    <row r="58" spans="1:44" ht="16" thickBot="1">
      <c r="A58" s="679" t="s">
        <v>192</v>
      </c>
      <c r="B58" s="681">
        <f>'CB Inputs'!K26</f>
        <v>1</v>
      </c>
      <c r="C58" s="684"/>
      <c r="D58" s="686"/>
      <c r="E58" s="668"/>
      <c r="F58" s="679" t="s">
        <v>192</v>
      </c>
      <c r="G58" s="681">
        <f>'CB Inputs'!K39</f>
        <v>1</v>
      </c>
      <c r="H58" s="684"/>
      <c r="I58" s="686"/>
      <c r="J58" s="668"/>
      <c r="K58" s="679" t="s">
        <v>192</v>
      </c>
      <c r="L58" s="681">
        <f>'CB Inputs'!K52</f>
        <v>1</v>
      </c>
      <c r="M58" s="684"/>
      <c r="N58" s="686"/>
      <c r="O58" s="668"/>
      <c r="P58" s="679" t="s">
        <v>192</v>
      </c>
      <c r="Q58" s="681">
        <f>'CB Inputs'!K65</f>
        <v>1</v>
      </c>
      <c r="R58" s="684"/>
      <c r="S58" s="686"/>
      <c r="U58" s="679" t="s">
        <v>192</v>
      </c>
      <c r="V58" s="681">
        <f>'CB Inputs'!K78</f>
        <v>1</v>
      </c>
      <c r="W58" s="684"/>
      <c r="X58" s="686"/>
      <c r="Z58" s="679" t="s">
        <v>192</v>
      </c>
      <c r="AA58" s="681">
        <f>'CB Inputs'!K91</f>
        <v>1</v>
      </c>
      <c r="AB58" s="684"/>
      <c r="AC58" s="686"/>
      <c r="AE58" s="679" t="s">
        <v>192</v>
      </c>
      <c r="AF58" s="681">
        <f>'CB Inputs'!K104</f>
        <v>0</v>
      </c>
      <c r="AG58" s="684"/>
      <c r="AH58" s="686"/>
      <c r="AJ58" s="679" t="s">
        <v>192</v>
      </c>
      <c r="AK58" s="681">
        <f>'CB Inputs'!K117</f>
        <v>0</v>
      </c>
      <c r="AL58" s="684"/>
      <c r="AM58" s="686"/>
      <c r="AO58" s="679" t="s">
        <v>192</v>
      </c>
      <c r="AP58" s="681">
        <f>'CB Inputs'!K130</f>
        <v>0</v>
      </c>
      <c r="AQ58" s="684"/>
      <c r="AR58" s="686"/>
    </row>
    <row r="59" spans="1:44" ht="16" thickBot="1">
      <c r="A59" s="687" t="s">
        <v>195</v>
      </c>
      <c r="B59" s="681">
        <f>'CB Inputs'!M26</f>
        <v>30</v>
      </c>
      <c r="C59" s="681"/>
      <c r="D59" s="681"/>
      <c r="E59" s="668"/>
      <c r="F59" s="687" t="s">
        <v>195</v>
      </c>
      <c r="G59" s="681">
        <f>'CB Inputs'!M39</f>
        <v>30</v>
      </c>
      <c r="H59" s="681"/>
      <c r="I59" s="681"/>
      <c r="J59" s="668"/>
      <c r="K59" s="687" t="s">
        <v>195</v>
      </c>
      <c r="L59" s="681">
        <f>'CB Inputs'!M52</f>
        <v>30</v>
      </c>
      <c r="M59" s="681"/>
      <c r="N59" s="681"/>
      <c r="O59" s="668"/>
      <c r="P59" s="687" t="s">
        <v>195</v>
      </c>
      <c r="Q59" s="681">
        <f>'CB Inputs'!M65</f>
        <v>30</v>
      </c>
      <c r="R59" s="681"/>
      <c r="S59" s="681"/>
      <c r="U59" s="687" t="s">
        <v>195</v>
      </c>
      <c r="V59" s="681">
        <f>'CB Inputs'!M78</f>
        <v>30</v>
      </c>
      <c r="W59" s="681"/>
      <c r="X59" s="681"/>
      <c r="Z59" s="687" t="s">
        <v>195</v>
      </c>
      <c r="AA59" s="681">
        <f>'CB Inputs'!M91</f>
        <v>30</v>
      </c>
      <c r="AB59" s="681"/>
      <c r="AC59" s="681"/>
      <c r="AE59" s="687" t="s">
        <v>195</v>
      </c>
      <c r="AF59" s="681">
        <f>'CB Inputs'!M104</f>
        <v>0</v>
      </c>
      <c r="AG59" s="681"/>
      <c r="AH59" s="681"/>
      <c r="AJ59" s="687" t="s">
        <v>195</v>
      </c>
      <c r="AK59" s="681">
        <f>'CB Inputs'!M117</f>
        <v>0</v>
      </c>
      <c r="AL59" s="681"/>
      <c r="AM59" s="681"/>
      <c r="AO59" s="687" t="s">
        <v>195</v>
      </c>
      <c r="AP59" s="681">
        <f>'CB Inputs'!M130</f>
        <v>0</v>
      </c>
      <c r="AQ59" s="681"/>
      <c r="AR59" s="681"/>
    </row>
    <row r="60" spans="1:44" ht="16" thickBot="1">
      <c r="A60" s="679" t="s">
        <v>761</v>
      </c>
      <c r="B60" s="680">
        <f>B57*B58</f>
        <v>12000</v>
      </c>
      <c r="C60" s="681"/>
      <c r="D60" s="681"/>
      <c r="E60" s="668"/>
      <c r="F60" s="679" t="s">
        <v>761</v>
      </c>
      <c r="G60" s="680">
        <f>G57*G58</f>
        <v>18000</v>
      </c>
      <c r="H60" s="681"/>
      <c r="I60" s="681"/>
      <c r="J60" s="668"/>
      <c r="K60" s="679" t="s">
        <v>761</v>
      </c>
      <c r="L60" s="680">
        <f>L57*L58</f>
        <v>12600</v>
      </c>
      <c r="M60" s="681"/>
      <c r="N60" s="681"/>
      <c r="O60" s="668"/>
      <c r="P60" s="679" t="s">
        <v>761</v>
      </c>
      <c r="Q60" s="680">
        <f>Q57*Q58</f>
        <v>12600</v>
      </c>
      <c r="R60" s="681"/>
      <c r="S60" s="681"/>
      <c r="U60" s="679" t="s">
        <v>761</v>
      </c>
      <c r="V60" s="680">
        <f>V57*V58</f>
        <v>13200</v>
      </c>
      <c r="W60" s="681"/>
      <c r="X60" s="681"/>
      <c r="Z60" s="679" t="s">
        <v>761</v>
      </c>
      <c r="AA60" s="680">
        <f>AA57*AA58</f>
        <v>13200</v>
      </c>
      <c r="AB60" s="681"/>
      <c r="AC60" s="681"/>
      <c r="AE60" s="679" t="s">
        <v>761</v>
      </c>
      <c r="AF60" s="680">
        <f>AF57*AF58</f>
        <v>0</v>
      </c>
      <c r="AG60" s="681"/>
      <c r="AH60" s="681"/>
      <c r="AJ60" s="679" t="s">
        <v>761</v>
      </c>
      <c r="AK60" s="680">
        <f>AK57*AK58</f>
        <v>0</v>
      </c>
      <c r="AL60" s="681"/>
      <c r="AM60" s="681"/>
      <c r="AO60" s="679" t="s">
        <v>761</v>
      </c>
      <c r="AP60" s="680">
        <f>AP57*AP58</f>
        <v>0</v>
      </c>
      <c r="AQ60" s="681"/>
      <c r="AR60" s="681"/>
    </row>
    <row r="61" spans="1:44" ht="16" thickBot="1">
      <c r="A61" s="679" t="s">
        <v>762</v>
      </c>
      <c r="B61" s="680">
        <f>B60*B59</f>
        <v>360000</v>
      </c>
      <c r="C61" s="681"/>
      <c r="D61" s="681"/>
      <c r="E61" s="668"/>
      <c r="F61" s="679" t="s">
        <v>762</v>
      </c>
      <c r="G61" s="680">
        <f>G60*G59</f>
        <v>540000</v>
      </c>
      <c r="H61" s="681"/>
      <c r="I61" s="681"/>
      <c r="J61" s="668"/>
      <c r="K61" s="679" t="s">
        <v>762</v>
      </c>
      <c r="L61" s="680">
        <f>L60*L59</f>
        <v>378000</v>
      </c>
      <c r="M61" s="681"/>
      <c r="N61" s="681"/>
      <c r="O61" s="668"/>
      <c r="P61" s="679" t="s">
        <v>762</v>
      </c>
      <c r="Q61" s="680">
        <f>Q60*Q59</f>
        <v>378000</v>
      </c>
      <c r="R61" s="681"/>
      <c r="S61" s="681"/>
      <c r="U61" s="679" t="s">
        <v>762</v>
      </c>
      <c r="V61" s="680">
        <f>V60*V59</f>
        <v>396000</v>
      </c>
      <c r="W61" s="681"/>
      <c r="X61" s="681"/>
      <c r="Z61" s="679" t="s">
        <v>762</v>
      </c>
      <c r="AA61" s="680">
        <f>AA60*AA59</f>
        <v>396000</v>
      </c>
      <c r="AB61" s="681"/>
      <c r="AC61" s="681"/>
      <c r="AE61" s="679" t="s">
        <v>762</v>
      </c>
      <c r="AF61" s="680">
        <f>AF60*AF59</f>
        <v>0</v>
      </c>
      <c r="AG61" s="681"/>
      <c r="AH61" s="681"/>
      <c r="AJ61" s="679" t="s">
        <v>762</v>
      </c>
      <c r="AK61" s="680">
        <f>AK60*AK59</f>
        <v>0</v>
      </c>
      <c r="AL61" s="681"/>
      <c r="AM61" s="681"/>
      <c r="AO61" s="679" t="s">
        <v>762</v>
      </c>
      <c r="AP61" s="680">
        <f>AP60*AP59</f>
        <v>0</v>
      </c>
      <c r="AQ61" s="681"/>
      <c r="AR61" s="681"/>
    </row>
    <row r="62" spans="1:44" ht="16" thickBot="1">
      <c r="A62" s="679" t="s">
        <v>763</v>
      </c>
      <c r="B62" s="688">
        <f>C66/B61</f>
        <v>0.24983333333333332</v>
      </c>
      <c r="C62" s="681"/>
      <c r="D62" s="689"/>
      <c r="E62" s="668"/>
      <c r="F62" s="679" t="s">
        <v>763</v>
      </c>
      <c r="G62" s="688">
        <f>H66/G61</f>
        <v>0.24983333333333332</v>
      </c>
      <c r="H62" s="681"/>
      <c r="I62" s="689"/>
      <c r="J62" s="668"/>
      <c r="K62" s="679" t="s">
        <v>763</v>
      </c>
      <c r="L62" s="688">
        <f>M66/L61</f>
        <v>0.28316666666666668</v>
      </c>
      <c r="M62" s="681"/>
      <c r="N62" s="689"/>
      <c r="O62" s="668"/>
      <c r="P62" s="679" t="s">
        <v>763</v>
      </c>
      <c r="Q62" s="688">
        <f>R66/Q61</f>
        <v>0.28316666666666668</v>
      </c>
      <c r="R62" s="681"/>
      <c r="S62" s="689"/>
      <c r="U62" s="679" t="s">
        <v>763</v>
      </c>
      <c r="V62" s="688">
        <f>W66/V61</f>
        <v>0.28316666666666668</v>
      </c>
      <c r="W62" s="681"/>
      <c r="X62" s="689"/>
      <c r="Z62" s="679" t="s">
        <v>763</v>
      </c>
      <c r="AA62" s="688">
        <f>AB66/AA61</f>
        <v>0.28316666666666668</v>
      </c>
      <c r="AB62" s="681"/>
      <c r="AC62" s="689"/>
      <c r="AE62" s="679" t="s">
        <v>763</v>
      </c>
      <c r="AF62" s="688" t="e">
        <f>AG66/AF61</f>
        <v>#DIV/0!</v>
      </c>
      <c r="AG62" s="681"/>
      <c r="AH62" s="689"/>
      <c r="AJ62" s="679" t="s">
        <v>763</v>
      </c>
      <c r="AK62" s="688" t="e">
        <f>AL66/AK61</f>
        <v>#DIV/0!</v>
      </c>
      <c r="AL62" s="681"/>
      <c r="AM62" s="689"/>
      <c r="AO62" s="679" t="s">
        <v>763</v>
      </c>
      <c r="AP62" s="688" t="e">
        <f>AQ66/AP61</f>
        <v>#DIV/0!</v>
      </c>
      <c r="AQ62" s="681"/>
      <c r="AR62" s="689"/>
    </row>
    <row r="63" spans="1:44" ht="16" thickBot="1">
      <c r="A63" s="690"/>
      <c r="B63" s="691" t="s">
        <v>250</v>
      </c>
      <c r="C63" s="691" t="s">
        <v>764</v>
      </c>
      <c r="D63" s="691" t="s">
        <v>18</v>
      </c>
      <c r="E63" s="668"/>
      <c r="F63" s="690"/>
      <c r="G63" s="691" t="s">
        <v>250</v>
      </c>
      <c r="H63" s="691" t="s">
        <v>764</v>
      </c>
      <c r="I63" s="691" t="s">
        <v>18</v>
      </c>
      <c r="J63" s="668"/>
      <c r="K63" s="690"/>
      <c r="L63" s="691" t="s">
        <v>250</v>
      </c>
      <c r="M63" s="691" t="s">
        <v>764</v>
      </c>
      <c r="N63" s="691" t="s">
        <v>18</v>
      </c>
      <c r="O63" s="668"/>
      <c r="P63" s="690"/>
      <c r="Q63" s="691" t="s">
        <v>250</v>
      </c>
      <c r="R63" s="691" t="s">
        <v>764</v>
      </c>
      <c r="S63" s="691" t="s">
        <v>18</v>
      </c>
      <c r="U63" s="690"/>
      <c r="V63" s="691" t="s">
        <v>250</v>
      </c>
      <c r="W63" s="691" t="s">
        <v>764</v>
      </c>
      <c r="X63" s="691" t="s">
        <v>18</v>
      </c>
      <c r="Z63" s="690"/>
      <c r="AA63" s="691" t="s">
        <v>250</v>
      </c>
      <c r="AB63" s="691" t="s">
        <v>764</v>
      </c>
      <c r="AC63" s="691" t="s">
        <v>18</v>
      </c>
      <c r="AE63" s="690"/>
      <c r="AF63" s="691" t="s">
        <v>250</v>
      </c>
      <c r="AG63" s="691" t="s">
        <v>764</v>
      </c>
      <c r="AH63" s="691" t="s">
        <v>18</v>
      </c>
      <c r="AJ63" s="690"/>
      <c r="AK63" s="691" t="s">
        <v>250</v>
      </c>
      <c r="AL63" s="691" t="s">
        <v>764</v>
      </c>
      <c r="AM63" s="691" t="s">
        <v>18</v>
      </c>
      <c r="AO63" s="690"/>
      <c r="AP63" s="691" t="s">
        <v>250</v>
      </c>
      <c r="AQ63" s="691" t="s">
        <v>764</v>
      </c>
      <c r="AR63" s="691" t="s">
        <v>18</v>
      </c>
    </row>
    <row r="64" spans="1:44" ht="16" thickBot="1">
      <c r="A64" s="692" t="s">
        <v>765</v>
      </c>
      <c r="B64" s="693">
        <f>ROUND(C64*$B$89,2)</f>
        <v>3.75</v>
      </c>
      <c r="C64" s="694">
        <f>ROUND(D64*'CB Inputs'!$G$11,2)</f>
        <v>7.5</v>
      </c>
      <c r="D64" s="694">
        <f>C53</f>
        <v>14.99</v>
      </c>
      <c r="E64" s="668"/>
      <c r="F64" s="692" t="s">
        <v>765</v>
      </c>
      <c r="G64" s="693">
        <f>ROUND(H64*$B$89,2)</f>
        <v>3.75</v>
      </c>
      <c r="H64" s="694">
        <f>ROUND(I64*'CB Inputs'!$G$11,2)</f>
        <v>7.5</v>
      </c>
      <c r="I64" s="694">
        <f>H53</f>
        <v>14.99</v>
      </c>
      <c r="J64" s="668"/>
      <c r="K64" s="692" t="s">
        <v>765</v>
      </c>
      <c r="L64" s="693">
        <f>ROUND(M64*$B$89,2)</f>
        <v>4.25</v>
      </c>
      <c r="M64" s="694">
        <f>ROUND(N64*'CB Inputs'!$G$11,2)</f>
        <v>8.5</v>
      </c>
      <c r="N64" s="694">
        <f>M53</f>
        <v>16.989999999999998</v>
      </c>
      <c r="O64" s="668"/>
      <c r="P64" s="692" t="s">
        <v>765</v>
      </c>
      <c r="Q64" s="693">
        <f>ROUND(R64*$B$89,2)</f>
        <v>4.25</v>
      </c>
      <c r="R64" s="694">
        <f>ROUND(S64*'CB Inputs'!$G$11,2)</f>
        <v>8.5</v>
      </c>
      <c r="S64" s="694">
        <f>R53</f>
        <v>16.989999999999998</v>
      </c>
      <c r="U64" s="692" t="s">
        <v>765</v>
      </c>
      <c r="V64" s="693">
        <f>ROUND(W64*$B$89,2)</f>
        <v>4.25</v>
      </c>
      <c r="W64" s="694">
        <f>ROUND(X64*'CB Inputs'!$G$11,2)</f>
        <v>8.5</v>
      </c>
      <c r="X64" s="694">
        <f>W53</f>
        <v>16.989999999999998</v>
      </c>
      <c r="Z64" s="692" t="s">
        <v>765</v>
      </c>
      <c r="AA64" s="693">
        <f>ROUND(AB64*$B$89,2)</f>
        <v>4.25</v>
      </c>
      <c r="AB64" s="694">
        <f>ROUND(AC64*'CB Inputs'!$G$11,2)</f>
        <v>8.5</v>
      </c>
      <c r="AC64" s="694">
        <f>AB53</f>
        <v>16.989999999999998</v>
      </c>
      <c r="AE64" s="692" t="s">
        <v>765</v>
      </c>
      <c r="AF64" s="693">
        <f>ROUND(AG64*$B$89,2)</f>
        <v>0</v>
      </c>
      <c r="AG64" s="694">
        <f>ROUND(AH64*'CB Inputs'!$G$11,2)</f>
        <v>0</v>
      </c>
      <c r="AH64" s="694">
        <f>AG53</f>
        <v>0</v>
      </c>
      <c r="AJ64" s="692" t="s">
        <v>765</v>
      </c>
      <c r="AK64" s="693">
        <f>ROUND(AL64*$B$89,2)</f>
        <v>0</v>
      </c>
      <c r="AL64" s="694">
        <f>ROUND(AM64*'CB Inputs'!$G$11,2)</f>
        <v>0</v>
      </c>
      <c r="AM64" s="694">
        <f>AL53</f>
        <v>0</v>
      </c>
      <c r="AO64" s="692" t="s">
        <v>765</v>
      </c>
      <c r="AP64" s="693">
        <f>ROUND(AQ64*$B$89,2)</f>
        <v>0</v>
      </c>
      <c r="AQ64" s="694">
        <f>ROUND(AR64*'CB Inputs'!$G$11,2)</f>
        <v>0</v>
      </c>
      <c r="AR64" s="694">
        <f>AQ53</f>
        <v>0</v>
      </c>
    </row>
    <row r="65" spans="1:44" ht="16" thickBot="1">
      <c r="A65" s="692" t="s">
        <v>766</v>
      </c>
      <c r="B65" s="693">
        <f>ROUND(C65*$B$89,2)</f>
        <v>89.94</v>
      </c>
      <c r="C65" s="695">
        <f>ROUND(D65*'CB Inputs'!$G$11,2)</f>
        <v>179.88</v>
      </c>
      <c r="D65" s="695">
        <f>ROUND(D64*B56,2)</f>
        <v>359.76</v>
      </c>
      <c r="E65" s="668"/>
      <c r="F65" s="692" t="s">
        <v>766</v>
      </c>
      <c r="G65" s="693">
        <f>ROUND(H65*$B$89,2)</f>
        <v>89.94</v>
      </c>
      <c r="H65" s="695">
        <f>ROUND(I65*'CB Inputs'!$G$11,2)</f>
        <v>179.88</v>
      </c>
      <c r="I65" s="695">
        <f>ROUND(I64*G56,2)</f>
        <v>359.76</v>
      </c>
      <c r="J65" s="668"/>
      <c r="K65" s="692" t="s">
        <v>766</v>
      </c>
      <c r="L65" s="693">
        <f>ROUND(M65*$B$89,2)</f>
        <v>101.94</v>
      </c>
      <c r="M65" s="695">
        <f>ROUND(N65*'CB Inputs'!$G$11,2)</f>
        <v>203.88</v>
      </c>
      <c r="N65" s="695">
        <f>ROUND(N64*L56,2)</f>
        <v>407.76</v>
      </c>
      <c r="O65" s="668"/>
      <c r="P65" s="692" t="s">
        <v>766</v>
      </c>
      <c r="Q65" s="693">
        <f>ROUND(R65*$B$89,2)</f>
        <v>101.94</v>
      </c>
      <c r="R65" s="695">
        <f>ROUND(S65*'CB Inputs'!$G$11,2)</f>
        <v>203.88</v>
      </c>
      <c r="S65" s="695">
        <f>ROUND(S64*Q56,2)</f>
        <v>407.76</v>
      </c>
      <c r="U65" s="692" t="s">
        <v>766</v>
      </c>
      <c r="V65" s="693">
        <f>ROUND(W65*$B$89,2)</f>
        <v>101.94</v>
      </c>
      <c r="W65" s="695">
        <f>ROUND(X65*'CB Inputs'!$G$11,2)</f>
        <v>203.88</v>
      </c>
      <c r="X65" s="695">
        <f>ROUND(X64*V56,2)</f>
        <v>407.76</v>
      </c>
      <c r="Z65" s="692" t="s">
        <v>766</v>
      </c>
      <c r="AA65" s="693">
        <f>ROUND(AB65*$B$89,2)</f>
        <v>101.94</v>
      </c>
      <c r="AB65" s="695">
        <f>ROUND(AC65*'CB Inputs'!$G$11,2)</f>
        <v>203.88</v>
      </c>
      <c r="AC65" s="695">
        <f>ROUND(AC64*AA56,2)</f>
        <v>407.76</v>
      </c>
      <c r="AE65" s="692" t="s">
        <v>766</v>
      </c>
      <c r="AF65" s="693">
        <f>ROUND(AG65*$B$89,2)</f>
        <v>0</v>
      </c>
      <c r="AG65" s="695">
        <f>ROUND(AH65*'CB Inputs'!$G$11,2)</f>
        <v>0</v>
      </c>
      <c r="AH65" s="695">
        <f>ROUND(AH64*AF56,2)</f>
        <v>0</v>
      </c>
      <c r="AJ65" s="692" t="s">
        <v>766</v>
      </c>
      <c r="AK65" s="693">
        <f>ROUND(AL65*$B$89,2)</f>
        <v>0</v>
      </c>
      <c r="AL65" s="695">
        <f>ROUND(AM65*'CB Inputs'!$G$11,2)</f>
        <v>0</v>
      </c>
      <c r="AM65" s="695">
        <f>ROUND(AM64*AK56,2)</f>
        <v>0</v>
      </c>
      <c r="AO65" s="692" t="s">
        <v>766</v>
      </c>
      <c r="AP65" s="693">
        <f>ROUND(AQ65*$B$89,2)</f>
        <v>0</v>
      </c>
      <c r="AQ65" s="695">
        <f>ROUND(AR65*'CB Inputs'!$G$11,2)</f>
        <v>0</v>
      </c>
      <c r="AR65" s="695">
        <f>ROUND(AR64*AP56,2)</f>
        <v>0</v>
      </c>
    </row>
    <row r="66" spans="1:44" ht="16" thickBot="1">
      <c r="A66" s="692" t="s">
        <v>767</v>
      </c>
      <c r="B66" s="693">
        <f>ROUND(B65*$B55,2)</f>
        <v>44970</v>
      </c>
      <c r="C66" s="695">
        <f>ROUND(C65*B55,2)</f>
        <v>89940</v>
      </c>
      <c r="D66" s="695">
        <f>ROUND(D65*B55,2)</f>
        <v>179880</v>
      </c>
      <c r="E66" s="668"/>
      <c r="F66" s="692" t="s">
        <v>767</v>
      </c>
      <c r="G66" s="693">
        <f>ROUND(G65*$B55,2)</f>
        <v>44970</v>
      </c>
      <c r="H66" s="695">
        <f>ROUND(H65*G55,2)</f>
        <v>134910</v>
      </c>
      <c r="I66" s="695">
        <f>ROUND(I65*G55,2)</f>
        <v>269820</v>
      </c>
      <c r="J66" s="668"/>
      <c r="K66" s="692" t="s">
        <v>767</v>
      </c>
      <c r="L66" s="693">
        <f>ROUND(L65*$B55,2)</f>
        <v>50970</v>
      </c>
      <c r="M66" s="695">
        <f>ROUND(M65*L55,2)</f>
        <v>107037</v>
      </c>
      <c r="N66" s="695">
        <f>ROUND(N65*L55,2)</f>
        <v>214074</v>
      </c>
      <c r="O66" s="668"/>
      <c r="P66" s="692" t="s">
        <v>767</v>
      </c>
      <c r="Q66" s="693">
        <f>ROUND(Q65*$B55,2)</f>
        <v>50970</v>
      </c>
      <c r="R66" s="695">
        <f>ROUND(R65*Q55,2)</f>
        <v>107037</v>
      </c>
      <c r="S66" s="695">
        <f>ROUND(S65*Q55,2)</f>
        <v>214074</v>
      </c>
      <c r="U66" s="692" t="s">
        <v>767</v>
      </c>
      <c r="V66" s="693">
        <f>ROUND(V65*$B55,2)</f>
        <v>50970</v>
      </c>
      <c r="W66" s="695">
        <f>ROUND(W65*V55,2)</f>
        <v>112134</v>
      </c>
      <c r="X66" s="695">
        <f>ROUND(X65*V55,2)</f>
        <v>224268</v>
      </c>
      <c r="Z66" s="692" t="s">
        <v>767</v>
      </c>
      <c r="AA66" s="693">
        <f>ROUND(AA65*$B55,2)</f>
        <v>50970</v>
      </c>
      <c r="AB66" s="695">
        <f>ROUND(AB65*AA55,2)</f>
        <v>112134</v>
      </c>
      <c r="AC66" s="695">
        <f>ROUND(AC65*AA55,2)</f>
        <v>224268</v>
      </c>
      <c r="AE66" s="692" t="s">
        <v>767</v>
      </c>
      <c r="AF66" s="693">
        <f>ROUND(AF65*$B55,2)</f>
        <v>0</v>
      </c>
      <c r="AG66" s="695">
        <f>ROUND(AG65*AF55,2)</f>
        <v>0</v>
      </c>
      <c r="AH66" s="695">
        <f>ROUND(AH65*AF55,2)</f>
        <v>0</v>
      </c>
      <c r="AJ66" s="692" t="s">
        <v>767</v>
      </c>
      <c r="AK66" s="693">
        <f>ROUND(AK65*$B55,2)</f>
        <v>0</v>
      </c>
      <c r="AL66" s="695">
        <f>ROUND(AL65*AK55,2)</f>
        <v>0</v>
      </c>
      <c r="AM66" s="695">
        <f>ROUND(AM65*AK55,2)</f>
        <v>0</v>
      </c>
      <c r="AO66" s="692" t="s">
        <v>767</v>
      </c>
      <c r="AP66" s="693">
        <f>ROUND(AP65*$B55,2)</f>
        <v>0</v>
      </c>
      <c r="AQ66" s="695">
        <f>ROUND(AQ65*AP55,2)</f>
        <v>0</v>
      </c>
      <c r="AR66" s="695">
        <f>ROUND(AR65*AP55,2)</f>
        <v>0</v>
      </c>
    </row>
    <row r="67" spans="1:44" ht="16" thickBot="1">
      <c r="A67" s="668"/>
      <c r="B67" s="668"/>
      <c r="C67" s="668"/>
      <c r="D67" s="668"/>
      <c r="E67" s="668"/>
      <c r="F67" s="668"/>
      <c r="G67" s="668"/>
      <c r="H67" s="668"/>
      <c r="I67" s="668"/>
      <c r="J67" s="668"/>
      <c r="K67" s="668"/>
      <c r="L67" s="668"/>
      <c r="M67" s="668"/>
      <c r="N67" s="668"/>
      <c r="O67" s="668"/>
      <c r="P67" s="668"/>
      <c r="Q67" s="668"/>
      <c r="R67" s="668"/>
      <c r="S67" s="668"/>
      <c r="U67" s="668"/>
      <c r="V67" s="668"/>
      <c r="W67" s="668"/>
      <c r="X67" s="668"/>
      <c r="Z67" s="668"/>
      <c r="AA67" s="668"/>
      <c r="AB67" s="668"/>
      <c r="AC67" s="668"/>
      <c r="AE67" s="668"/>
      <c r="AF67" s="668"/>
      <c r="AG67" s="668"/>
      <c r="AH67" s="668"/>
      <c r="AJ67" s="668"/>
      <c r="AK67" s="668"/>
      <c r="AL67" s="668"/>
      <c r="AM67" s="668"/>
      <c r="AO67" s="668"/>
      <c r="AP67" s="668"/>
      <c r="AQ67" s="668"/>
      <c r="AR67" s="668"/>
    </row>
    <row r="68" spans="1:44" ht="16" thickBot="1">
      <c r="A68" s="668"/>
      <c r="B68" s="668"/>
      <c r="C68" s="674" t="s">
        <v>754</v>
      </c>
      <c r="D68" s="675"/>
      <c r="E68" s="668"/>
      <c r="F68" s="668"/>
      <c r="G68" s="668"/>
      <c r="H68" s="674" t="s">
        <v>754</v>
      </c>
      <c r="I68" s="675"/>
      <c r="J68" s="668"/>
      <c r="K68" s="668"/>
      <c r="L68" s="668"/>
      <c r="M68" s="674" t="s">
        <v>754</v>
      </c>
      <c r="N68" s="675"/>
      <c r="O68" s="668"/>
      <c r="P68" s="668"/>
      <c r="Q68" s="668"/>
      <c r="R68" s="674" t="s">
        <v>754</v>
      </c>
      <c r="S68" s="675"/>
      <c r="U68" s="668"/>
      <c r="V68" s="668"/>
      <c r="W68" s="674" t="s">
        <v>754</v>
      </c>
      <c r="X68" s="675"/>
      <c r="Z68" s="668"/>
      <c r="AA68" s="668"/>
      <c r="AB68" s="674" t="s">
        <v>754</v>
      </c>
      <c r="AC68" s="675"/>
      <c r="AE68" s="668"/>
      <c r="AF68" s="668"/>
      <c r="AG68" s="674" t="s">
        <v>754</v>
      </c>
      <c r="AH68" s="675"/>
      <c r="AJ68" s="668"/>
      <c r="AK68" s="668"/>
      <c r="AL68" s="674" t="s">
        <v>754</v>
      </c>
      <c r="AM68" s="675"/>
      <c r="AO68" s="668"/>
      <c r="AP68" s="668"/>
      <c r="AQ68" s="674" t="s">
        <v>754</v>
      </c>
      <c r="AR68" s="675"/>
    </row>
    <row r="69" spans="1:44" s="677" customFormat="1" ht="32">
      <c r="A69" s="676" t="s">
        <v>772</v>
      </c>
      <c r="B69" s="1172" t="s">
        <v>18</v>
      </c>
      <c r="C69" s="1174">
        <f>'CB Inputs'!E27</f>
        <v>0</v>
      </c>
      <c r="D69" s="1172"/>
      <c r="E69" s="1179"/>
      <c r="F69" s="676" t="s">
        <v>772</v>
      </c>
      <c r="G69" s="1172" t="s">
        <v>18</v>
      </c>
      <c r="H69" s="1176">
        <f>'CB Inputs'!E40</f>
        <v>0</v>
      </c>
      <c r="I69" s="1172"/>
      <c r="J69" s="1179"/>
      <c r="K69" s="676" t="s">
        <v>772</v>
      </c>
      <c r="L69" s="1172" t="s">
        <v>18</v>
      </c>
      <c r="M69" s="1174">
        <f>'CB Inputs'!E53</f>
        <v>0</v>
      </c>
      <c r="N69" s="1172"/>
      <c r="O69" s="1180"/>
      <c r="P69" s="676" t="s">
        <v>772</v>
      </c>
      <c r="Q69" s="1172" t="s">
        <v>18</v>
      </c>
      <c r="R69" s="1174">
        <f>'CB Inputs'!E66</f>
        <v>0</v>
      </c>
      <c r="S69" s="1172"/>
      <c r="U69" s="676" t="s">
        <v>772</v>
      </c>
      <c r="V69" s="1172" t="s">
        <v>18</v>
      </c>
      <c r="W69" s="1174">
        <f>'CB Inputs'!E79</f>
        <v>0</v>
      </c>
      <c r="X69" s="1172"/>
      <c r="Z69" s="676" t="s">
        <v>772</v>
      </c>
      <c r="AA69" s="1172" t="s">
        <v>18</v>
      </c>
      <c r="AB69" s="1174">
        <f>'CB Inputs'!E92</f>
        <v>0</v>
      </c>
      <c r="AC69" s="1172"/>
      <c r="AE69" s="676" t="s">
        <v>772</v>
      </c>
      <c r="AF69" s="1172" t="s">
        <v>18</v>
      </c>
      <c r="AG69" s="1174">
        <f>'CB Inputs'!E105</f>
        <v>0</v>
      </c>
      <c r="AH69" s="1172"/>
      <c r="AJ69" s="676" t="s">
        <v>772</v>
      </c>
      <c r="AK69" s="1172" t="s">
        <v>18</v>
      </c>
      <c r="AL69" s="1174">
        <f>'CB Inputs'!E118</f>
        <v>0</v>
      </c>
      <c r="AM69" s="1172"/>
      <c r="AO69" s="676" t="s">
        <v>772</v>
      </c>
      <c r="AP69" s="1172" t="s">
        <v>18</v>
      </c>
      <c r="AQ69" s="1174">
        <f>'CB Inputs'!E131</f>
        <v>0</v>
      </c>
      <c r="AR69" s="1172"/>
    </row>
    <row r="70" spans="1:44" s="677" customFormat="1" ht="16" thickBot="1">
      <c r="A70" s="678" t="s">
        <v>773</v>
      </c>
      <c r="B70" s="1173"/>
      <c r="C70" s="1175"/>
      <c r="D70" s="1173"/>
      <c r="E70" s="1179"/>
      <c r="F70" s="678" t="s">
        <v>773</v>
      </c>
      <c r="G70" s="1173"/>
      <c r="H70" s="1177"/>
      <c r="I70" s="1173"/>
      <c r="J70" s="1179"/>
      <c r="K70" s="678" t="s">
        <v>773</v>
      </c>
      <c r="L70" s="1173"/>
      <c r="M70" s="1175"/>
      <c r="N70" s="1173"/>
      <c r="O70" s="1180"/>
      <c r="P70" s="678" t="s">
        <v>773</v>
      </c>
      <c r="Q70" s="1173"/>
      <c r="R70" s="1175"/>
      <c r="S70" s="1173"/>
      <c r="U70" s="678" t="s">
        <v>773</v>
      </c>
      <c r="V70" s="1173"/>
      <c r="W70" s="1175"/>
      <c r="X70" s="1173"/>
      <c r="Z70" s="678" t="s">
        <v>773</v>
      </c>
      <c r="AA70" s="1173"/>
      <c r="AB70" s="1175"/>
      <c r="AC70" s="1173"/>
      <c r="AE70" s="678" t="s">
        <v>773</v>
      </c>
      <c r="AF70" s="1173"/>
      <c r="AG70" s="1175"/>
      <c r="AH70" s="1173"/>
      <c r="AJ70" s="678" t="s">
        <v>773</v>
      </c>
      <c r="AK70" s="1173"/>
      <c r="AL70" s="1175"/>
      <c r="AM70" s="1173"/>
      <c r="AO70" s="678" t="s">
        <v>773</v>
      </c>
      <c r="AP70" s="1173"/>
      <c r="AQ70" s="1175"/>
      <c r="AR70" s="1173"/>
    </row>
    <row r="71" spans="1:44" ht="16" thickBot="1">
      <c r="A71" s="679" t="s">
        <v>759</v>
      </c>
      <c r="B71" s="681">
        <f>'CB Inputs'!I27</f>
        <v>0</v>
      </c>
      <c r="C71" s="681"/>
      <c r="D71" s="689"/>
      <c r="E71" s="668"/>
      <c r="F71" s="679" t="s">
        <v>759</v>
      </c>
      <c r="G71" s="681">
        <f>'CB Inputs'!I40</f>
        <v>0</v>
      </c>
      <c r="H71" s="681"/>
      <c r="I71" s="689"/>
      <c r="J71" s="668"/>
      <c r="K71" s="679" t="s">
        <v>759</v>
      </c>
      <c r="L71" s="681">
        <f>'CB Inputs'!I53</f>
        <v>0</v>
      </c>
      <c r="M71" s="681"/>
      <c r="N71" s="689"/>
      <c r="O71" s="668"/>
      <c r="P71" s="679" t="s">
        <v>759</v>
      </c>
      <c r="Q71" s="681">
        <f>'CB Inputs'!I66</f>
        <v>0</v>
      </c>
      <c r="R71" s="681"/>
      <c r="S71" s="689"/>
      <c r="U71" s="679" t="s">
        <v>759</v>
      </c>
      <c r="V71" s="681">
        <f>'CB Inputs'!I79</f>
        <v>0</v>
      </c>
      <c r="W71" s="681"/>
      <c r="X71" s="689"/>
      <c r="Z71" s="679" t="s">
        <v>759</v>
      </c>
      <c r="AA71" s="681">
        <f>'CB Inputs'!I92</f>
        <v>0</v>
      </c>
      <c r="AB71" s="681"/>
      <c r="AC71" s="689"/>
      <c r="AE71" s="679" t="s">
        <v>759</v>
      </c>
      <c r="AF71" s="681">
        <f>'CB Inputs'!I105</f>
        <v>0</v>
      </c>
      <c r="AG71" s="681"/>
      <c r="AH71" s="689"/>
      <c r="AJ71" s="679" t="s">
        <v>759</v>
      </c>
      <c r="AK71" s="681">
        <f>'CB Inputs'!I118</f>
        <v>0</v>
      </c>
      <c r="AL71" s="681"/>
      <c r="AM71" s="689"/>
      <c r="AO71" s="679" t="s">
        <v>759</v>
      </c>
      <c r="AP71" s="681">
        <f>'CB Inputs'!I131</f>
        <v>0</v>
      </c>
      <c r="AQ71" s="681"/>
      <c r="AR71" s="689"/>
    </row>
    <row r="72" spans="1:44" ht="16" thickBot="1">
      <c r="A72" s="679" t="s">
        <v>774</v>
      </c>
      <c r="B72" s="681">
        <f>'CB Inputs'!M27</f>
        <v>0</v>
      </c>
      <c r="C72" s="681"/>
      <c r="D72" s="681"/>
      <c r="E72" s="668"/>
      <c r="F72" s="679" t="s">
        <v>774</v>
      </c>
      <c r="G72" s="681">
        <f>'CB Inputs'!M40</f>
        <v>0</v>
      </c>
      <c r="H72" s="681"/>
      <c r="I72" s="681"/>
      <c r="J72" s="668"/>
      <c r="K72" s="679" t="s">
        <v>774</v>
      </c>
      <c r="L72" s="681">
        <f>'CB Inputs'!M53</f>
        <v>0</v>
      </c>
      <c r="M72" s="681"/>
      <c r="N72" s="681"/>
      <c r="O72" s="668"/>
      <c r="P72" s="679" t="s">
        <v>774</v>
      </c>
      <c r="Q72" s="681">
        <f>'CB Inputs'!M66</f>
        <v>0</v>
      </c>
      <c r="R72" s="681"/>
      <c r="S72" s="681"/>
      <c r="U72" s="679" t="s">
        <v>774</v>
      </c>
      <c r="V72" s="681">
        <f>'CB Inputs'!M79</f>
        <v>0</v>
      </c>
      <c r="W72" s="681"/>
      <c r="X72" s="681"/>
      <c r="Z72" s="679" t="s">
        <v>774</v>
      </c>
      <c r="AA72" s="681">
        <f>'CB Inputs'!M92</f>
        <v>0</v>
      </c>
      <c r="AB72" s="681"/>
      <c r="AC72" s="681"/>
      <c r="AE72" s="679" t="s">
        <v>774</v>
      </c>
      <c r="AF72" s="681">
        <f>'CB Inputs'!M105</f>
        <v>0</v>
      </c>
      <c r="AG72" s="681"/>
      <c r="AH72" s="681"/>
      <c r="AJ72" s="679" t="s">
        <v>774</v>
      </c>
      <c r="AK72" s="681">
        <f>'CB Inputs'!M118</f>
        <v>0</v>
      </c>
      <c r="AL72" s="681"/>
      <c r="AM72" s="681"/>
      <c r="AO72" s="679" t="s">
        <v>774</v>
      </c>
      <c r="AP72" s="681">
        <f>'CB Inputs'!M131</f>
        <v>0</v>
      </c>
      <c r="AQ72" s="681"/>
      <c r="AR72" s="681"/>
    </row>
    <row r="73" spans="1:44" ht="16" thickBot="1">
      <c r="A73" s="679" t="s">
        <v>762</v>
      </c>
      <c r="B73" s="680">
        <f>B71*B72</f>
        <v>0</v>
      </c>
      <c r="C73" s="681"/>
      <c r="D73" s="681"/>
      <c r="E73" s="668"/>
      <c r="F73" s="679" t="s">
        <v>762</v>
      </c>
      <c r="G73" s="680">
        <f>G71*G72</f>
        <v>0</v>
      </c>
      <c r="H73" s="681"/>
      <c r="I73" s="681"/>
      <c r="J73" s="668"/>
      <c r="K73" s="679" t="s">
        <v>762</v>
      </c>
      <c r="L73" s="680">
        <f>L71*L72</f>
        <v>0</v>
      </c>
      <c r="M73" s="681"/>
      <c r="N73" s="681"/>
      <c r="O73" s="668"/>
      <c r="P73" s="679" t="s">
        <v>762</v>
      </c>
      <c r="Q73" s="680">
        <f>Q71*Q72</f>
        <v>0</v>
      </c>
      <c r="R73" s="681"/>
      <c r="S73" s="681"/>
      <c r="U73" s="679" t="s">
        <v>762</v>
      </c>
      <c r="V73" s="680">
        <f>V71*V72</f>
        <v>0</v>
      </c>
      <c r="W73" s="681"/>
      <c r="X73" s="681"/>
      <c r="Z73" s="679" t="s">
        <v>762</v>
      </c>
      <c r="AA73" s="680">
        <f>AA71*AA72</f>
        <v>0</v>
      </c>
      <c r="AB73" s="681"/>
      <c r="AC73" s="681"/>
      <c r="AE73" s="679" t="s">
        <v>762</v>
      </c>
      <c r="AF73" s="680">
        <f>AF71*AF72</f>
        <v>0</v>
      </c>
      <c r="AG73" s="681"/>
      <c r="AH73" s="681"/>
      <c r="AJ73" s="679" t="s">
        <v>762</v>
      </c>
      <c r="AK73" s="680">
        <f>AK71*AK72</f>
        <v>0</v>
      </c>
      <c r="AL73" s="681"/>
      <c r="AM73" s="681"/>
      <c r="AO73" s="679" t="s">
        <v>762</v>
      </c>
      <c r="AP73" s="680">
        <f>AP71*AP72</f>
        <v>0</v>
      </c>
      <c r="AQ73" s="681"/>
      <c r="AR73" s="681"/>
    </row>
    <row r="74" spans="1:44" ht="16" thickBot="1">
      <c r="A74" s="679" t="s">
        <v>763</v>
      </c>
      <c r="B74" s="689" t="e">
        <f>D77/B73</f>
        <v>#DIV/0!</v>
      </c>
      <c r="C74" s="681"/>
      <c r="D74" s="689"/>
      <c r="E74" s="668"/>
      <c r="F74" s="679" t="s">
        <v>763</v>
      </c>
      <c r="G74" s="689" t="e">
        <f>I77/G73</f>
        <v>#DIV/0!</v>
      </c>
      <c r="H74" s="681"/>
      <c r="I74" s="689"/>
      <c r="J74" s="668"/>
      <c r="K74" s="679" t="s">
        <v>763</v>
      </c>
      <c r="L74" s="689" t="e">
        <f>N77/L73</f>
        <v>#DIV/0!</v>
      </c>
      <c r="M74" s="681"/>
      <c r="N74" s="689"/>
      <c r="O74" s="668"/>
      <c r="P74" s="679" t="s">
        <v>763</v>
      </c>
      <c r="Q74" s="689" t="e">
        <f>S77/Q73</f>
        <v>#DIV/0!</v>
      </c>
      <c r="R74" s="681"/>
      <c r="S74" s="689"/>
      <c r="U74" s="679" t="s">
        <v>763</v>
      </c>
      <c r="V74" s="689" t="e">
        <f>X77/V73</f>
        <v>#DIV/0!</v>
      </c>
      <c r="W74" s="681"/>
      <c r="X74" s="689"/>
      <c r="Z74" s="679" t="s">
        <v>763</v>
      </c>
      <c r="AA74" s="689" t="e">
        <f>AC77/AA73</f>
        <v>#DIV/0!</v>
      </c>
      <c r="AB74" s="681"/>
      <c r="AC74" s="689"/>
      <c r="AE74" s="679" t="s">
        <v>763</v>
      </c>
      <c r="AF74" s="689" t="e">
        <f>AH77/AF73</f>
        <v>#DIV/0!</v>
      </c>
      <c r="AG74" s="681"/>
      <c r="AH74" s="689"/>
      <c r="AJ74" s="679" t="s">
        <v>763</v>
      </c>
      <c r="AK74" s="689" t="e">
        <f>AM77/AK73</f>
        <v>#DIV/0!</v>
      </c>
      <c r="AL74" s="681"/>
      <c r="AM74" s="689"/>
      <c r="AO74" s="679" t="s">
        <v>763</v>
      </c>
      <c r="AP74" s="689" t="e">
        <f>AR77/AP73</f>
        <v>#DIV/0!</v>
      </c>
      <c r="AQ74" s="681"/>
      <c r="AR74" s="689"/>
    </row>
    <row r="75" spans="1:44" ht="16" thickBot="1">
      <c r="A75" s="690"/>
      <c r="B75" s="691" t="s">
        <v>250</v>
      </c>
      <c r="C75" s="691" t="s">
        <v>764</v>
      </c>
      <c r="D75" s="691" t="s">
        <v>18</v>
      </c>
      <c r="E75" s="668"/>
      <c r="F75" s="690"/>
      <c r="G75" s="691" t="s">
        <v>250</v>
      </c>
      <c r="H75" s="691" t="s">
        <v>764</v>
      </c>
      <c r="I75" s="691" t="s">
        <v>18</v>
      </c>
      <c r="J75" s="668"/>
      <c r="K75" s="690"/>
      <c r="L75" s="691" t="s">
        <v>250</v>
      </c>
      <c r="M75" s="691" t="s">
        <v>764</v>
      </c>
      <c r="N75" s="691" t="s">
        <v>18</v>
      </c>
      <c r="O75" s="668"/>
      <c r="P75" s="690"/>
      <c r="Q75" s="691" t="s">
        <v>250</v>
      </c>
      <c r="R75" s="691" t="s">
        <v>764</v>
      </c>
      <c r="S75" s="691" t="s">
        <v>18</v>
      </c>
      <c r="U75" s="690"/>
      <c r="V75" s="691" t="s">
        <v>250</v>
      </c>
      <c r="W75" s="691" t="s">
        <v>764</v>
      </c>
      <c r="X75" s="691" t="s">
        <v>18</v>
      </c>
      <c r="Z75" s="690"/>
      <c r="AA75" s="691" t="s">
        <v>250</v>
      </c>
      <c r="AB75" s="691" t="s">
        <v>764</v>
      </c>
      <c r="AC75" s="691" t="s">
        <v>18</v>
      </c>
      <c r="AE75" s="690"/>
      <c r="AF75" s="691" t="s">
        <v>250</v>
      </c>
      <c r="AG75" s="691" t="s">
        <v>764</v>
      </c>
      <c r="AH75" s="691" t="s">
        <v>18</v>
      </c>
      <c r="AJ75" s="690"/>
      <c r="AK75" s="691" t="s">
        <v>250</v>
      </c>
      <c r="AL75" s="691" t="s">
        <v>764</v>
      </c>
      <c r="AM75" s="691" t="s">
        <v>18</v>
      </c>
      <c r="AO75" s="690"/>
      <c r="AP75" s="691" t="s">
        <v>250</v>
      </c>
      <c r="AQ75" s="691" t="s">
        <v>764</v>
      </c>
      <c r="AR75" s="691" t="s">
        <v>18</v>
      </c>
    </row>
    <row r="76" spans="1:44" ht="16" thickBot="1">
      <c r="A76" s="692" t="s">
        <v>765</v>
      </c>
      <c r="B76" s="693">
        <f>ROUND(C76*$B$89,2)</f>
        <v>0</v>
      </c>
      <c r="C76" s="694">
        <f>C69</f>
        <v>0</v>
      </c>
      <c r="D76" s="694">
        <f>C69</f>
        <v>0</v>
      </c>
      <c r="E76" s="668"/>
      <c r="F76" s="692" t="s">
        <v>765</v>
      </c>
      <c r="G76" s="693">
        <f>ROUND(H76*$B$89,2)</f>
        <v>0</v>
      </c>
      <c r="H76" s="694">
        <f>H69</f>
        <v>0</v>
      </c>
      <c r="I76" s="694">
        <f>H69</f>
        <v>0</v>
      </c>
      <c r="J76" s="668"/>
      <c r="K76" s="692" t="s">
        <v>765</v>
      </c>
      <c r="L76" s="693">
        <f>ROUND(M76*$B$89,2)</f>
        <v>0</v>
      </c>
      <c r="M76" s="694">
        <f>M69</f>
        <v>0</v>
      </c>
      <c r="N76" s="694">
        <f>M69</f>
        <v>0</v>
      </c>
      <c r="O76" s="668"/>
      <c r="P76" s="692" t="s">
        <v>765</v>
      </c>
      <c r="Q76" s="693">
        <f>ROUND(R76*$B$89,2)</f>
        <v>0</v>
      </c>
      <c r="R76" s="694">
        <f>R69</f>
        <v>0</v>
      </c>
      <c r="S76" s="694">
        <f>R69</f>
        <v>0</v>
      </c>
      <c r="U76" s="692" t="s">
        <v>765</v>
      </c>
      <c r="V76" s="693">
        <f>ROUND(W76*$B$89,2)</f>
        <v>0</v>
      </c>
      <c r="W76" s="694">
        <f>W69</f>
        <v>0</v>
      </c>
      <c r="X76" s="694">
        <f>W69</f>
        <v>0</v>
      </c>
      <c r="Z76" s="692" t="s">
        <v>765</v>
      </c>
      <c r="AA76" s="693">
        <f>ROUND(AB76*$B$89,2)</f>
        <v>0</v>
      </c>
      <c r="AB76" s="694">
        <f>AB69</f>
        <v>0</v>
      </c>
      <c r="AC76" s="694">
        <f>AB69</f>
        <v>0</v>
      </c>
      <c r="AE76" s="692" t="s">
        <v>765</v>
      </c>
      <c r="AF76" s="693">
        <f>ROUND(AG76*$B$89,2)</f>
        <v>0</v>
      </c>
      <c r="AG76" s="694">
        <f>AG69</f>
        <v>0</v>
      </c>
      <c r="AH76" s="694">
        <f>AG69</f>
        <v>0</v>
      </c>
      <c r="AJ76" s="692" t="s">
        <v>765</v>
      </c>
      <c r="AK76" s="693">
        <f>ROUND(AL76*$B$89,2)</f>
        <v>0</v>
      </c>
      <c r="AL76" s="694">
        <f>AL69</f>
        <v>0</v>
      </c>
      <c r="AM76" s="694">
        <f>AL69</f>
        <v>0</v>
      </c>
      <c r="AO76" s="692" t="s">
        <v>765</v>
      </c>
      <c r="AP76" s="693">
        <f>ROUND(AQ76*$B$89,2)</f>
        <v>0</v>
      </c>
      <c r="AQ76" s="694">
        <f>AQ69</f>
        <v>0</v>
      </c>
      <c r="AR76" s="694">
        <f>AQ69</f>
        <v>0</v>
      </c>
    </row>
    <row r="77" spans="1:44" ht="16" thickBot="1">
      <c r="A77" s="692" t="s">
        <v>767</v>
      </c>
      <c r="B77" s="693">
        <f>ROUND(B76*B71,2)</f>
        <v>0</v>
      </c>
      <c r="C77" s="694">
        <f>ROUND(C76*B71,2)</f>
        <v>0</v>
      </c>
      <c r="D77" s="694">
        <f>ROUND(D76*B71,2)</f>
        <v>0</v>
      </c>
      <c r="E77" s="668"/>
      <c r="F77" s="692" t="s">
        <v>767</v>
      </c>
      <c r="G77" s="693">
        <f>ROUND(G76*G71,2)</f>
        <v>0</v>
      </c>
      <c r="H77" s="694">
        <f>ROUND(H76*G71,2)</f>
        <v>0</v>
      </c>
      <c r="I77" s="694">
        <f>ROUND(I76*G71,2)</f>
        <v>0</v>
      </c>
      <c r="J77" s="668"/>
      <c r="K77" s="692" t="s">
        <v>767</v>
      </c>
      <c r="L77" s="693">
        <f>ROUND(L76*L71,2)</f>
        <v>0</v>
      </c>
      <c r="M77" s="694">
        <f>ROUND(M76*L71,2)</f>
        <v>0</v>
      </c>
      <c r="N77" s="694">
        <f>ROUND(N76*L71,2)</f>
        <v>0</v>
      </c>
      <c r="O77" s="668"/>
      <c r="P77" s="692" t="s">
        <v>767</v>
      </c>
      <c r="Q77" s="693">
        <f>ROUND(Q76*Q71,2)</f>
        <v>0</v>
      </c>
      <c r="R77" s="694">
        <f>ROUND(R76*Q71,2)</f>
        <v>0</v>
      </c>
      <c r="S77" s="694">
        <f>ROUND(S76*Q71,2)</f>
        <v>0</v>
      </c>
      <c r="U77" s="692" t="s">
        <v>767</v>
      </c>
      <c r="V77" s="693">
        <f>ROUND(V76*V71,2)</f>
        <v>0</v>
      </c>
      <c r="W77" s="694">
        <f>ROUND(W76*V71,2)</f>
        <v>0</v>
      </c>
      <c r="X77" s="694">
        <f>ROUND(X76*V71,2)</f>
        <v>0</v>
      </c>
      <c r="Z77" s="692" t="s">
        <v>767</v>
      </c>
      <c r="AA77" s="693">
        <f>ROUND(AA76*AA71,2)</f>
        <v>0</v>
      </c>
      <c r="AB77" s="694">
        <f>ROUND(AB76*AA71,2)</f>
        <v>0</v>
      </c>
      <c r="AC77" s="694">
        <f>ROUND(AC76*AA71,2)</f>
        <v>0</v>
      </c>
      <c r="AE77" s="692" t="s">
        <v>767</v>
      </c>
      <c r="AF77" s="693">
        <f>ROUND(AF76*AF71,2)</f>
        <v>0</v>
      </c>
      <c r="AG77" s="694">
        <f>ROUND(AG76*AF71,2)</f>
        <v>0</v>
      </c>
      <c r="AH77" s="694">
        <f>ROUND(AH76*AF71,2)</f>
        <v>0</v>
      </c>
      <c r="AJ77" s="692" t="s">
        <v>767</v>
      </c>
      <c r="AK77" s="693">
        <f>ROUND(AK76*AK71,2)</f>
        <v>0</v>
      </c>
      <c r="AL77" s="694">
        <f>ROUND(AL76*AK71,2)</f>
        <v>0</v>
      </c>
      <c r="AM77" s="694">
        <f>ROUND(AM76*AK71,2)</f>
        <v>0</v>
      </c>
      <c r="AO77" s="692" t="s">
        <v>767</v>
      </c>
      <c r="AP77" s="693">
        <f>ROUND(AP76*AP71,2)</f>
        <v>0</v>
      </c>
      <c r="AQ77" s="694">
        <f>ROUND(AQ76*AP71,2)</f>
        <v>0</v>
      </c>
      <c r="AR77" s="694">
        <f>ROUND(AR76*AP71,2)</f>
        <v>0</v>
      </c>
    </row>
    <row r="78" spans="1:44">
      <c r="A78" s="668"/>
      <c r="B78" s="668"/>
      <c r="C78" s="668"/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668"/>
      <c r="P78" s="668"/>
      <c r="Q78" s="668"/>
      <c r="R78" s="668"/>
      <c r="S78" s="668"/>
      <c r="U78" s="668"/>
      <c r="V78" s="668"/>
      <c r="W78" s="668"/>
      <c r="X78" s="668"/>
      <c r="Z78" s="668"/>
      <c r="AA78" s="668"/>
      <c r="AB78" s="668"/>
      <c r="AC78" s="668"/>
      <c r="AE78" s="668"/>
      <c r="AF78" s="668"/>
      <c r="AG78" s="668"/>
      <c r="AH78" s="668"/>
      <c r="AJ78" s="668"/>
      <c r="AK78" s="668"/>
      <c r="AL78" s="668"/>
      <c r="AM78" s="668"/>
      <c r="AO78" s="668"/>
      <c r="AP78" s="668"/>
      <c r="AQ78" s="668"/>
      <c r="AR78" s="668"/>
    </row>
    <row r="79" spans="1:44">
      <c r="A79" s="668" t="s">
        <v>149</v>
      </c>
      <c r="B79" s="696">
        <f>B13+B29+B45+B61+B73</f>
        <v>2120000</v>
      </c>
      <c r="C79" s="668"/>
      <c r="D79" s="697"/>
      <c r="E79" s="668"/>
      <c r="F79" s="668" t="s">
        <v>149</v>
      </c>
      <c r="G79" s="696">
        <f>G13+G29+G45+G61+G73</f>
        <v>3540000</v>
      </c>
      <c r="H79" s="668"/>
      <c r="I79" s="697"/>
      <c r="J79" s="668"/>
      <c r="K79" s="668" t="s">
        <v>149</v>
      </c>
      <c r="L79" s="696">
        <f>L13+L29+L45+L61+L73</f>
        <v>2226000</v>
      </c>
      <c r="M79" s="668"/>
      <c r="N79" s="697"/>
      <c r="O79" s="668"/>
      <c r="P79" s="668" t="s">
        <v>149</v>
      </c>
      <c r="Q79" s="696">
        <f>Q13+Q29+Q45+Q61+Q73</f>
        <v>2226000</v>
      </c>
      <c r="R79" s="668"/>
      <c r="S79" s="697"/>
      <c r="U79" s="668" t="s">
        <v>149</v>
      </c>
      <c r="V79" s="696">
        <f>V13+V29+V45+V61+V73</f>
        <v>2332000</v>
      </c>
      <c r="W79" s="668"/>
      <c r="X79" s="697"/>
      <c r="Z79" s="668" t="s">
        <v>149</v>
      </c>
      <c r="AA79" s="696">
        <f>AA13+AA29+AA45+AA61+AA73</f>
        <v>2332000</v>
      </c>
      <c r="AB79" s="668"/>
      <c r="AC79" s="697"/>
      <c r="AE79" s="668" t="s">
        <v>149</v>
      </c>
      <c r="AF79" s="696">
        <f>AF13+AF29+AF45+AF61+AF73</f>
        <v>0</v>
      </c>
      <c r="AG79" s="668"/>
      <c r="AH79" s="697"/>
      <c r="AJ79" s="668" t="s">
        <v>149</v>
      </c>
      <c r="AK79" s="696">
        <f>AK13+AK29+AK45+AK61+AK73</f>
        <v>0</v>
      </c>
      <c r="AL79" s="668"/>
      <c r="AM79" s="697"/>
      <c r="AO79" s="668" t="s">
        <v>149</v>
      </c>
      <c r="AP79" s="696">
        <f>AP13+AP29+AP45+AP61+AP73</f>
        <v>0</v>
      </c>
      <c r="AQ79" s="668"/>
      <c r="AR79" s="697"/>
    </row>
    <row r="80" spans="1:44">
      <c r="A80" s="668" t="s">
        <v>761</v>
      </c>
      <c r="B80" s="696">
        <f>B12+B28+B44+B60</f>
        <v>332000</v>
      </c>
      <c r="C80" s="668"/>
      <c r="D80" s="697"/>
      <c r="E80" s="668"/>
      <c r="F80" s="668" t="s">
        <v>761</v>
      </c>
      <c r="G80" s="696">
        <f>G12+G28+G44+G60</f>
        <v>570000</v>
      </c>
      <c r="H80" s="668"/>
      <c r="I80" s="697"/>
      <c r="J80" s="668"/>
      <c r="K80" s="668" t="s">
        <v>761</v>
      </c>
      <c r="L80" s="696">
        <f>L12+L28+L44+L60</f>
        <v>348600</v>
      </c>
      <c r="M80" s="668"/>
      <c r="N80" s="697"/>
      <c r="O80" s="668"/>
      <c r="P80" s="668" t="s">
        <v>761</v>
      </c>
      <c r="Q80" s="696">
        <f>Q12+Q28+Q44+Q60</f>
        <v>348600</v>
      </c>
      <c r="R80" s="668"/>
      <c r="S80" s="697"/>
      <c r="U80" s="668" t="s">
        <v>761</v>
      </c>
      <c r="V80" s="696">
        <f>V12+V28+V44+V60</f>
        <v>365200</v>
      </c>
      <c r="W80" s="668"/>
      <c r="X80" s="697"/>
      <c r="Z80" s="668" t="s">
        <v>761</v>
      </c>
      <c r="AA80" s="696">
        <f>AA12+AA28+AA44+AA60</f>
        <v>365200</v>
      </c>
      <c r="AB80" s="668"/>
      <c r="AC80" s="697"/>
      <c r="AE80" s="668" t="s">
        <v>761</v>
      </c>
      <c r="AF80" s="696">
        <f>AF12+AF28+AF44+AF60</f>
        <v>0</v>
      </c>
      <c r="AG80" s="668"/>
      <c r="AH80" s="697"/>
      <c r="AJ80" s="668" t="s">
        <v>761</v>
      </c>
      <c r="AK80" s="696">
        <f>AK12+AK28+AK44+AK60</f>
        <v>0</v>
      </c>
      <c r="AL80" s="668"/>
      <c r="AM80" s="697"/>
      <c r="AO80" s="668" t="s">
        <v>761</v>
      </c>
      <c r="AP80" s="696">
        <f>AP12+AP28+AP44+AP60</f>
        <v>0</v>
      </c>
      <c r="AQ80" s="668"/>
      <c r="AR80" s="697"/>
    </row>
    <row r="81" spans="1:68">
      <c r="A81" s="668" t="s">
        <v>144</v>
      </c>
      <c r="B81" s="696">
        <f>B9+B41+B25+B57+B71</f>
        <v>52000</v>
      </c>
      <c r="C81" s="668"/>
      <c r="D81" s="697"/>
      <c r="E81" s="668"/>
      <c r="F81" s="668" t="s">
        <v>144</v>
      </c>
      <c r="G81" s="696">
        <f>G9+G41+G25+G57+G71</f>
        <v>84000</v>
      </c>
      <c r="H81" s="668"/>
      <c r="I81" s="697"/>
      <c r="J81" s="668"/>
      <c r="K81" s="668" t="s">
        <v>144</v>
      </c>
      <c r="L81" s="696">
        <f>L9+L41+L25+L57+L71</f>
        <v>54600</v>
      </c>
      <c r="M81" s="668"/>
      <c r="N81" s="697"/>
      <c r="O81" s="668"/>
      <c r="P81" s="668" t="s">
        <v>144</v>
      </c>
      <c r="Q81" s="696">
        <f>Q9+Q41+Q25+Q57+Q71</f>
        <v>54600</v>
      </c>
      <c r="R81" s="668"/>
      <c r="S81" s="697"/>
      <c r="U81" s="668" t="s">
        <v>144</v>
      </c>
      <c r="V81" s="696">
        <f>V9+V41+V25+V57+V71</f>
        <v>57200</v>
      </c>
      <c r="W81" s="668"/>
      <c r="X81" s="697"/>
      <c r="Z81" s="668" t="s">
        <v>144</v>
      </c>
      <c r="AA81" s="696">
        <f>AA9+AA41+AA25+AA57+AA71</f>
        <v>57200</v>
      </c>
      <c r="AB81" s="668"/>
      <c r="AC81" s="697"/>
      <c r="AE81" s="668" t="s">
        <v>144</v>
      </c>
      <c r="AF81" s="696">
        <f>AF9+AF41+AF25+AF57+AF71</f>
        <v>0</v>
      </c>
      <c r="AG81" s="668"/>
      <c r="AH81" s="697"/>
      <c r="AJ81" s="668" t="s">
        <v>144</v>
      </c>
      <c r="AK81" s="696">
        <f>AK9+AK41+AK25+AK57+AK71</f>
        <v>0</v>
      </c>
      <c r="AL81" s="668"/>
      <c r="AM81" s="697"/>
      <c r="AO81" s="668" t="s">
        <v>144</v>
      </c>
      <c r="AP81" s="696">
        <f>AP9+AP41+AP25+AP57+AP71</f>
        <v>0</v>
      </c>
      <c r="AQ81" s="668"/>
      <c r="AR81" s="697"/>
    </row>
    <row r="82" spans="1:68">
      <c r="A82" s="668" t="s">
        <v>140</v>
      </c>
      <c r="B82" s="696">
        <f>B7+B23+B39+B55</f>
        <v>2000</v>
      </c>
      <c r="C82" s="668"/>
      <c r="D82" s="698"/>
      <c r="E82" s="668"/>
      <c r="F82" s="668" t="s">
        <v>140</v>
      </c>
      <c r="G82" s="696">
        <f>G7+G23+G39+G55</f>
        <v>3500</v>
      </c>
      <c r="H82" s="668"/>
      <c r="I82" s="698"/>
      <c r="J82" s="668"/>
      <c r="K82" s="668" t="s">
        <v>140</v>
      </c>
      <c r="L82" s="696">
        <f>L7+L23+L39+L55</f>
        <v>2100</v>
      </c>
      <c r="M82" s="668"/>
      <c r="N82" s="698"/>
      <c r="O82" s="668"/>
      <c r="P82" s="668" t="s">
        <v>140</v>
      </c>
      <c r="Q82" s="696">
        <f>Q7+Q23+Q39+Q55</f>
        <v>2100</v>
      </c>
      <c r="U82" s="668" t="s">
        <v>140</v>
      </c>
      <c r="V82" s="696">
        <f>V7+V23+V39+V55</f>
        <v>2200</v>
      </c>
      <c r="Z82" s="668" t="s">
        <v>140</v>
      </c>
      <c r="AA82" s="696">
        <f>AA7+AA23+AA39+AA55</f>
        <v>2200</v>
      </c>
      <c r="AE82" s="668" t="s">
        <v>140</v>
      </c>
      <c r="AF82" s="696">
        <f>AF7+AF23+AF39+AF55</f>
        <v>0</v>
      </c>
      <c r="AJ82" s="668" t="s">
        <v>140</v>
      </c>
      <c r="AK82" s="696">
        <f>AK7+AK23+AK39+AK55</f>
        <v>0</v>
      </c>
      <c r="AO82" s="668" t="s">
        <v>140</v>
      </c>
      <c r="AP82" s="696">
        <f>AP7+AP23+AP39+AP55</f>
        <v>0</v>
      </c>
    </row>
    <row r="83" spans="1:68" ht="16" thickBot="1"/>
    <row r="84" spans="1:68">
      <c r="A84" s="573"/>
      <c r="B84" s="574"/>
      <c r="C84" s="574"/>
      <c r="D84" s="575"/>
      <c r="F84" s="573"/>
      <c r="G84" s="574"/>
      <c r="H84" s="574"/>
      <c r="I84" s="575"/>
      <c r="K84" s="573"/>
      <c r="L84" s="574"/>
      <c r="M84" s="574"/>
      <c r="N84" s="575"/>
      <c r="P84" s="573"/>
      <c r="Q84" s="574"/>
      <c r="R84" s="574"/>
      <c r="S84" s="575"/>
      <c r="U84" s="573"/>
      <c r="V84" s="574"/>
      <c r="W84" s="574"/>
      <c r="X84" s="575"/>
      <c r="Z84" s="573"/>
      <c r="AA84" s="574"/>
      <c r="AB84" s="574"/>
      <c r="AC84" s="575"/>
      <c r="AE84" s="573"/>
      <c r="AF84" s="574"/>
      <c r="AG84" s="574"/>
      <c r="AH84" s="575"/>
      <c r="AJ84" s="573"/>
      <c r="AK84" s="574"/>
      <c r="AL84" s="574"/>
      <c r="AM84" s="575"/>
      <c r="AO84" s="573"/>
      <c r="AP84" s="574"/>
      <c r="AQ84" s="574"/>
      <c r="AR84" s="575"/>
    </row>
    <row r="85" spans="1:68">
      <c r="A85" s="576" t="s">
        <v>18</v>
      </c>
      <c r="B85" s="577"/>
      <c r="C85" s="699">
        <f>D18+D34+D50+D66+D77</f>
        <v>1779480</v>
      </c>
      <c r="D85" s="579"/>
      <c r="F85" s="576" t="s">
        <v>18</v>
      </c>
      <c r="G85" s="577"/>
      <c r="H85" s="699">
        <f>I18+I34+I50+I66+I77</f>
        <v>3869160</v>
      </c>
      <c r="I85" s="579"/>
      <c r="K85" s="576" t="s">
        <v>18</v>
      </c>
      <c r="L85" s="577"/>
      <c r="M85" s="699">
        <f>N18+N34+N50+N66+N77</f>
        <v>2103654</v>
      </c>
      <c r="N85" s="579"/>
      <c r="P85" s="576" t="s">
        <v>18</v>
      </c>
      <c r="Q85" s="577"/>
      <c r="R85" s="699">
        <f>S18+S34+S50+S66+S77</f>
        <v>2103654</v>
      </c>
      <c r="S85" s="579"/>
      <c r="U85" s="576" t="s">
        <v>18</v>
      </c>
      <c r="V85" s="577"/>
      <c r="W85" s="699">
        <f>X18+X34+X50+X66+X77</f>
        <v>2203828</v>
      </c>
      <c r="X85" s="579"/>
      <c r="Z85" s="576" t="s">
        <v>18</v>
      </c>
      <c r="AA85" s="577"/>
      <c r="AB85" s="699">
        <f>AC18+AC34+AC50+AC66+AC77</f>
        <v>2203828</v>
      </c>
      <c r="AC85" s="579"/>
      <c r="AE85" s="576" t="s">
        <v>18</v>
      </c>
      <c r="AF85" s="577"/>
      <c r="AG85" s="699">
        <f>AH18+AH34+AH50+AH66+AH77</f>
        <v>0</v>
      </c>
      <c r="AH85" s="579"/>
      <c r="AJ85" s="576" t="s">
        <v>18</v>
      </c>
      <c r="AK85" s="577"/>
      <c r="AL85" s="699">
        <f>AM18+AM34+AM50+AM66+AM77</f>
        <v>0</v>
      </c>
      <c r="AM85" s="579"/>
      <c r="AO85" s="576" t="s">
        <v>18</v>
      </c>
      <c r="AP85" s="577"/>
      <c r="AQ85" s="699">
        <f>AR18+AR34+AR50+AR66+AR77</f>
        <v>0</v>
      </c>
      <c r="AR85" s="579"/>
    </row>
    <row r="86" spans="1:68">
      <c r="A86" s="580" t="s">
        <v>728</v>
      </c>
      <c r="B86" s="700">
        <f>C86/C85</f>
        <v>0.5</v>
      </c>
      <c r="C86" s="701">
        <f>C18+C34+C50+C66+C77</f>
        <v>889740</v>
      </c>
      <c r="D86" s="579"/>
      <c r="F86" s="580" t="s">
        <v>728</v>
      </c>
      <c r="G86" s="700">
        <f>H86/H85</f>
        <v>0.53101319149376092</v>
      </c>
      <c r="H86" s="701">
        <f>H18+H34+H50+H66+H77</f>
        <v>2054575</v>
      </c>
      <c r="I86" s="579"/>
      <c r="K86" s="580" t="s">
        <v>728</v>
      </c>
      <c r="L86" s="700">
        <f>M86/M85</f>
        <v>0.5</v>
      </c>
      <c r="M86" s="701">
        <f>M18+M34+M50+M66+M77</f>
        <v>1051827</v>
      </c>
      <c r="N86" s="579"/>
      <c r="P86" s="580" t="s">
        <v>728</v>
      </c>
      <c r="Q86" s="700">
        <f>L86</f>
        <v>0.5</v>
      </c>
      <c r="R86" s="701">
        <f>R18+R34+R50+R66+R77</f>
        <v>1051827</v>
      </c>
      <c r="S86" s="579"/>
      <c r="U86" s="580" t="s">
        <v>728</v>
      </c>
      <c r="V86" s="700">
        <f>Q86</f>
        <v>0.5</v>
      </c>
      <c r="W86" s="701">
        <f>W18+W34+W50+W66+W77</f>
        <v>1101914</v>
      </c>
      <c r="X86" s="579"/>
      <c r="Z86" s="580" t="s">
        <v>728</v>
      </c>
      <c r="AA86" s="700">
        <f>V86</f>
        <v>0.5</v>
      </c>
      <c r="AB86" s="701">
        <f>AB18+AB34+AB50+AB66+AB77</f>
        <v>1101914</v>
      </c>
      <c r="AC86" s="579"/>
      <c r="AE86" s="580" t="s">
        <v>728</v>
      </c>
      <c r="AF86" s="700">
        <f>AA86</f>
        <v>0.5</v>
      </c>
      <c r="AG86" s="701">
        <f>AG18+AG34+AG50+AG66+AG77</f>
        <v>0</v>
      </c>
      <c r="AH86" s="579"/>
      <c r="AJ86" s="580" t="s">
        <v>728</v>
      </c>
      <c r="AK86" s="700">
        <f>AF86</f>
        <v>0.5</v>
      </c>
      <c r="AL86" s="701">
        <f>AL18+AL34+AL50+AL66+AL77</f>
        <v>0</v>
      </c>
      <c r="AM86" s="579"/>
      <c r="AO86" s="580" t="s">
        <v>728</v>
      </c>
      <c r="AP86" s="700">
        <f>AK86</f>
        <v>0.5</v>
      </c>
      <c r="AQ86" s="701">
        <f>AQ18+AQ34+AQ50+AQ66+AQ77</f>
        <v>0</v>
      </c>
      <c r="AR86" s="579"/>
    </row>
    <row r="87" spans="1:68">
      <c r="A87" s="580" t="s">
        <v>870</v>
      </c>
      <c r="B87" s="700">
        <f>'CB Inputs'!G12</f>
        <v>0.05</v>
      </c>
      <c r="C87" s="701">
        <f>-ROUND(C86*B87,2)</f>
        <v>-44487</v>
      </c>
      <c r="D87" s="579"/>
      <c r="F87" s="580" t="s">
        <v>870</v>
      </c>
      <c r="G87" s="700">
        <f>'CB Inputs'!G12</f>
        <v>0.05</v>
      </c>
      <c r="H87" s="701">
        <f>-ROUND(H86*G87,2)</f>
        <v>-102728.75</v>
      </c>
      <c r="I87" s="579"/>
      <c r="K87" s="580" t="s">
        <v>870</v>
      </c>
      <c r="L87" s="700">
        <f>B87</f>
        <v>0.05</v>
      </c>
      <c r="M87" s="701">
        <f>-ROUND(M86*L87,2)</f>
        <v>-52591.35</v>
      </c>
      <c r="N87" s="579"/>
      <c r="P87" s="580" t="s">
        <v>870</v>
      </c>
      <c r="Q87" s="700">
        <f>L87</f>
        <v>0.05</v>
      </c>
      <c r="R87" s="701">
        <f>-ROUND(R86*Q87,2)</f>
        <v>-52591.35</v>
      </c>
      <c r="S87" s="579"/>
      <c r="U87" s="580" t="s">
        <v>870</v>
      </c>
      <c r="V87" s="700">
        <f>Q87</f>
        <v>0.05</v>
      </c>
      <c r="W87" s="701">
        <f>-ROUND(W86*V87,2)</f>
        <v>-55095.7</v>
      </c>
      <c r="X87" s="579"/>
      <c r="Z87" s="580" t="s">
        <v>870</v>
      </c>
      <c r="AA87" s="700">
        <f>V87</f>
        <v>0.05</v>
      </c>
      <c r="AB87" s="701">
        <f>-ROUND(AB86*AA87,2)</f>
        <v>-55095.7</v>
      </c>
      <c r="AC87" s="579"/>
      <c r="AE87" s="580" t="s">
        <v>870</v>
      </c>
      <c r="AF87" s="700">
        <f>AA87</f>
        <v>0.05</v>
      </c>
      <c r="AG87" s="701">
        <f>-ROUND(AG86*AF87,2)</f>
        <v>0</v>
      </c>
      <c r="AH87" s="579"/>
      <c r="AJ87" s="580" t="s">
        <v>870</v>
      </c>
      <c r="AK87" s="700">
        <f>AF87</f>
        <v>0.05</v>
      </c>
      <c r="AL87" s="701">
        <f>-ROUND(AL86*AK87,2)</f>
        <v>0</v>
      </c>
      <c r="AM87" s="579"/>
      <c r="AO87" s="580" t="s">
        <v>870</v>
      </c>
      <c r="AP87" s="700">
        <f>AK87</f>
        <v>0.05</v>
      </c>
      <c r="AQ87" s="701">
        <f>-ROUND(AQ86*AP87,2)</f>
        <v>0</v>
      </c>
      <c r="AR87" s="579"/>
    </row>
    <row r="88" spans="1:68">
      <c r="A88" s="580" t="s">
        <v>730</v>
      </c>
      <c r="B88" s="700"/>
      <c r="C88" s="702">
        <f>C86+C87</f>
        <v>845253</v>
      </c>
      <c r="D88" s="579"/>
      <c r="F88" s="580" t="s">
        <v>730</v>
      </c>
      <c r="G88" s="700"/>
      <c r="H88" s="702">
        <f>H86+H87</f>
        <v>1951846.25</v>
      </c>
      <c r="I88" s="579"/>
      <c r="K88" s="580" t="s">
        <v>730</v>
      </c>
      <c r="L88" s="700"/>
      <c r="M88" s="702">
        <f>M86+M87</f>
        <v>999235.65</v>
      </c>
      <c r="N88" s="579"/>
      <c r="P88" s="580" t="s">
        <v>730</v>
      </c>
      <c r="Q88" s="700"/>
      <c r="R88" s="702">
        <f>R86+R87</f>
        <v>999235.65</v>
      </c>
      <c r="S88" s="579"/>
      <c r="U88" s="580" t="s">
        <v>730</v>
      </c>
      <c r="V88" s="700"/>
      <c r="W88" s="702">
        <f>W86+W87</f>
        <v>1046818.3</v>
      </c>
      <c r="X88" s="579"/>
      <c r="Z88" s="580" t="s">
        <v>730</v>
      </c>
      <c r="AA88" s="700"/>
      <c r="AB88" s="702">
        <f>AB86+AB87</f>
        <v>1046818.3</v>
      </c>
      <c r="AC88" s="579"/>
      <c r="AE88" s="580" t="s">
        <v>730</v>
      </c>
      <c r="AF88" s="700"/>
      <c r="AG88" s="702">
        <f>AG86+AG87</f>
        <v>0</v>
      </c>
      <c r="AH88" s="579"/>
      <c r="AJ88" s="580" t="s">
        <v>730</v>
      </c>
      <c r="AK88" s="700"/>
      <c r="AL88" s="702">
        <f>AL86+AL87</f>
        <v>0</v>
      </c>
      <c r="AM88" s="579"/>
      <c r="AO88" s="580" t="s">
        <v>730</v>
      </c>
      <c r="AP88" s="700"/>
      <c r="AQ88" s="702">
        <f>AQ86+AQ87</f>
        <v>0</v>
      </c>
      <c r="AR88" s="579"/>
    </row>
    <row r="89" spans="1:68">
      <c r="A89" s="580" t="s">
        <v>729</v>
      </c>
      <c r="B89" s="700">
        <f>'CB Inputs'!G14</f>
        <v>0.5</v>
      </c>
      <c r="C89" s="701">
        <f>-ROUND(C88*B89,2)</f>
        <v>-422626.5</v>
      </c>
      <c r="D89" s="584"/>
      <c r="F89" s="580" t="s">
        <v>729</v>
      </c>
      <c r="G89" s="700">
        <f>'CB Inputs'!G14</f>
        <v>0.5</v>
      </c>
      <c r="H89" s="701">
        <f>-ROUND(H88*G89,2)</f>
        <v>-975923.13</v>
      </c>
      <c r="I89" s="584"/>
      <c r="K89" s="580" t="s">
        <v>729</v>
      </c>
      <c r="L89" s="700">
        <f>B89</f>
        <v>0.5</v>
      </c>
      <c r="M89" s="701">
        <f>-ROUND(M88*L89,2)</f>
        <v>-499617.83</v>
      </c>
      <c r="N89" s="584"/>
      <c r="P89" s="580" t="s">
        <v>729</v>
      </c>
      <c r="Q89" s="700">
        <f>L89</f>
        <v>0.5</v>
      </c>
      <c r="R89" s="701">
        <f>-ROUND(R88*Q89,2)</f>
        <v>-499617.83</v>
      </c>
      <c r="S89" s="584"/>
      <c r="U89" s="580" t="s">
        <v>729</v>
      </c>
      <c r="V89" s="700">
        <f>Q89</f>
        <v>0.5</v>
      </c>
      <c r="W89" s="701">
        <f>-ROUND(W88*V89,2)</f>
        <v>-523409.15</v>
      </c>
      <c r="X89" s="584"/>
      <c r="Z89" s="580" t="s">
        <v>729</v>
      </c>
      <c r="AA89" s="700">
        <f>V89</f>
        <v>0.5</v>
      </c>
      <c r="AB89" s="701">
        <f>-ROUND(AB88*AA89,2)</f>
        <v>-523409.15</v>
      </c>
      <c r="AC89" s="584"/>
      <c r="AE89" s="580" t="s">
        <v>729</v>
      </c>
      <c r="AF89" s="700">
        <f>AA89</f>
        <v>0.5</v>
      </c>
      <c r="AG89" s="701">
        <f>-ROUND(AG88*AF89,2)</f>
        <v>0</v>
      </c>
      <c r="AH89" s="584"/>
      <c r="AJ89" s="580" t="s">
        <v>729</v>
      </c>
      <c r="AK89" s="700">
        <f>AF89</f>
        <v>0.5</v>
      </c>
      <c r="AL89" s="701">
        <f>-ROUND(AL88*AK89,2)</f>
        <v>0</v>
      </c>
      <c r="AM89" s="584"/>
      <c r="AO89" s="580" t="s">
        <v>729</v>
      </c>
      <c r="AP89" s="700">
        <f>AK89</f>
        <v>0.5</v>
      </c>
      <c r="AQ89" s="701">
        <f>-ROUND(AQ88*AP89,2)</f>
        <v>0</v>
      </c>
      <c r="AR89" s="584"/>
    </row>
    <row r="90" spans="1:68" ht="16" thickBot="1">
      <c r="A90" s="580" t="s">
        <v>5</v>
      </c>
      <c r="B90" s="585"/>
      <c r="C90" s="703">
        <f>SUM(C88:C89)</f>
        <v>422626.5</v>
      </c>
      <c r="D90" s="579"/>
      <c r="F90" s="580" t="s">
        <v>5</v>
      </c>
      <c r="G90" s="585"/>
      <c r="H90" s="703">
        <f>SUM(H88:H89)</f>
        <v>975923.12</v>
      </c>
      <c r="I90" s="579"/>
      <c r="K90" s="580" t="s">
        <v>5</v>
      </c>
      <c r="L90" s="585"/>
      <c r="M90" s="703">
        <f>SUM(M88:M89)</f>
        <v>499617.82</v>
      </c>
      <c r="N90" s="579"/>
      <c r="P90" s="580" t="s">
        <v>5</v>
      </c>
      <c r="Q90" s="585"/>
      <c r="R90" s="703">
        <f>SUM(R88:R89)</f>
        <v>499617.82</v>
      </c>
      <c r="S90" s="579"/>
      <c r="U90" s="580" t="s">
        <v>5</v>
      </c>
      <c r="V90" s="585"/>
      <c r="W90" s="703">
        <f>SUM(W88:W89)</f>
        <v>523409.15</v>
      </c>
      <c r="X90" s="579"/>
      <c r="Z90" s="580" t="s">
        <v>5</v>
      </c>
      <c r="AA90" s="585"/>
      <c r="AB90" s="703">
        <f>SUM(AB88:AB89)</f>
        <v>523409.15</v>
      </c>
      <c r="AC90" s="579"/>
      <c r="AE90" s="580" t="s">
        <v>5</v>
      </c>
      <c r="AF90" s="585"/>
      <c r="AG90" s="703">
        <f>SUM(AG88:AG89)</f>
        <v>0</v>
      </c>
      <c r="AH90" s="579"/>
      <c r="AJ90" s="580" t="s">
        <v>5</v>
      </c>
      <c r="AK90" s="585"/>
      <c r="AL90" s="703">
        <f>SUM(AL88:AL89)</f>
        <v>0</v>
      </c>
      <c r="AM90" s="579"/>
      <c r="AO90" s="580" t="s">
        <v>5</v>
      </c>
      <c r="AP90" s="585"/>
      <c r="AQ90" s="703">
        <f>SUM(AQ88:AQ89)</f>
        <v>0</v>
      </c>
      <c r="AR90" s="579"/>
    </row>
    <row r="91" spans="1:68" ht="17" thickTop="1" thickBot="1">
      <c r="A91" s="587"/>
      <c r="B91" s="588"/>
      <c r="C91" s="588"/>
      <c r="D91" s="589"/>
      <c r="F91" s="587"/>
      <c r="G91" s="588"/>
      <c r="H91" s="588"/>
      <c r="I91" s="589"/>
      <c r="K91" s="587"/>
      <c r="L91" s="588"/>
      <c r="M91" s="588"/>
      <c r="N91" s="589"/>
      <c r="P91" s="587"/>
      <c r="Q91" s="588"/>
      <c r="R91" s="588"/>
      <c r="S91" s="589"/>
      <c r="U91" s="587"/>
      <c r="V91" s="588"/>
      <c r="W91" s="588"/>
      <c r="X91" s="589"/>
      <c r="Z91" s="587"/>
      <c r="AA91" s="588"/>
      <c r="AB91" s="588"/>
      <c r="AC91" s="589"/>
      <c r="AE91" s="587"/>
      <c r="AF91" s="588"/>
      <c r="AG91" s="588"/>
      <c r="AH91" s="589"/>
      <c r="AJ91" s="587"/>
      <c r="AK91" s="588"/>
      <c r="AL91" s="588"/>
      <c r="AM91" s="589"/>
      <c r="AO91" s="587"/>
      <c r="AP91" s="588"/>
      <c r="AQ91" s="588"/>
      <c r="AR91" s="589"/>
    </row>
    <row r="92" spans="1:68">
      <c r="A92" s="543"/>
      <c r="B92" s="556"/>
      <c r="C92" s="556"/>
      <c r="D92" s="543"/>
      <c r="F92" s="543"/>
      <c r="G92" s="556"/>
      <c r="H92" s="556"/>
      <c r="I92" s="543"/>
      <c r="K92" s="543"/>
      <c r="L92" s="556"/>
      <c r="M92" s="556"/>
      <c r="N92" s="543"/>
      <c r="P92" s="543"/>
      <c r="Q92" s="556"/>
      <c r="R92" s="556"/>
      <c r="S92" s="543"/>
      <c r="U92" s="543"/>
      <c r="V92" s="556"/>
      <c r="W92" s="556"/>
      <c r="X92" s="543"/>
      <c r="Z92" s="543"/>
      <c r="AA92" s="556"/>
      <c r="AB92" s="556"/>
      <c r="AC92" s="543"/>
      <c r="AE92" s="543"/>
      <c r="AF92" s="556"/>
      <c r="AG92" s="556"/>
      <c r="AH92" s="543"/>
      <c r="AJ92" s="543"/>
      <c r="AK92" s="556"/>
      <c r="AL92" s="556"/>
      <c r="AM92" s="543"/>
      <c r="AO92" s="543"/>
      <c r="AP92" s="556"/>
      <c r="AQ92" s="556"/>
      <c r="AR92" s="543"/>
    </row>
    <row r="93" spans="1:68">
      <c r="J93" s="677"/>
      <c r="K93" s="677"/>
      <c r="L93" s="677"/>
      <c r="M93" s="677"/>
      <c r="P93" s="677"/>
    </row>
    <row r="94" spans="1:68" ht="16" thickBot="1">
      <c r="I94" s="677"/>
      <c r="J94" s="677"/>
      <c r="K94" s="677"/>
      <c r="L94" s="677"/>
      <c r="M94" s="677"/>
      <c r="N94" s="677"/>
      <c r="P94" s="677"/>
    </row>
    <row r="95" spans="1:68" ht="13.5" customHeight="1">
      <c r="A95" s="704"/>
      <c r="B95" s="704"/>
      <c r="C95" s="705">
        <v>46023</v>
      </c>
      <c r="D95" s="705">
        <v>46054</v>
      </c>
      <c r="E95" s="705">
        <v>46082</v>
      </c>
      <c r="F95" s="705">
        <v>46113</v>
      </c>
      <c r="G95" s="705">
        <v>46143</v>
      </c>
      <c r="H95" s="705">
        <v>46174</v>
      </c>
      <c r="I95" s="705">
        <v>46204</v>
      </c>
      <c r="J95" s="705">
        <v>46235</v>
      </c>
      <c r="K95" s="705">
        <v>46266</v>
      </c>
      <c r="L95" s="705">
        <v>46296</v>
      </c>
      <c r="M95" s="705">
        <v>46327</v>
      </c>
      <c r="N95" s="705">
        <v>46357</v>
      </c>
      <c r="O95" s="704">
        <v>2026</v>
      </c>
      <c r="P95" s="705">
        <v>46388</v>
      </c>
      <c r="Q95" s="705">
        <v>46419</v>
      </c>
      <c r="R95" s="705">
        <v>46447</v>
      </c>
      <c r="S95" s="705">
        <v>46478</v>
      </c>
      <c r="T95" s="705">
        <v>46508</v>
      </c>
      <c r="U95" s="705">
        <v>46539</v>
      </c>
      <c r="V95" s="705">
        <v>46569</v>
      </c>
      <c r="W95" s="705">
        <v>46600</v>
      </c>
      <c r="X95" s="705">
        <v>46631</v>
      </c>
      <c r="Y95" s="705">
        <v>46661</v>
      </c>
      <c r="Z95" s="705">
        <v>46692</v>
      </c>
      <c r="AA95" s="705">
        <v>46722</v>
      </c>
      <c r="AB95" s="704">
        <v>2027</v>
      </c>
      <c r="AC95" s="705">
        <v>46753</v>
      </c>
      <c r="AD95" s="705">
        <v>46784</v>
      </c>
      <c r="AE95" s="705">
        <v>46813</v>
      </c>
      <c r="AF95" s="705">
        <v>46844</v>
      </c>
      <c r="AG95" s="705">
        <v>46874</v>
      </c>
      <c r="AH95" s="705">
        <v>46905</v>
      </c>
      <c r="AI95" s="705">
        <v>46935</v>
      </c>
      <c r="AJ95" s="705">
        <v>46966</v>
      </c>
      <c r="AK95" s="705">
        <v>46997</v>
      </c>
      <c r="AL95" s="705">
        <v>47027</v>
      </c>
      <c r="AM95" s="705">
        <v>47058</v>
      </c>
      <c r="AN95" s="705">
        <v>47088</v>
      </c>
      <c r="AO95" s="704">
        <v>2028</v>
      </c>
      <c r="AP95" s="705">
        <v>47119</v>
      </c>
      <c r="AQ95" s="705">
        <v>47150</v>
      </c>
      <c r="AR95" s="705">
        <v>47178</v>
      </c>
      <c r="AS95" s="705">
        <v>47209</v>
      </c>
      <c r="AT95" s="705">
        <v>47239</v>
      </c>
      <c r="AU95" s="705">
        <v>47270</v>
      </c>
      <c r="AV95" s="705">
        <v>47300</v>
      </c>
      <c r="AW95" s="705">
        <v>47331</v>
      </c>
      <c r="AX95" s="705">
        <v>47362</v>
      </c>
      <c r="AY95" s="705">
        <v>47392</v>
      </c>
      <c r="AZ95" s="705">
        <v>47423</v>
      </c>
      <c r="BA95" s="705">
        <v>47453</v>
      </c>
      <c r="BB95" s="706">
        <v>2029</v>
      </c>
      <c r="BC95" s="705">
        <v>47484</v>
      </c>
      <c r="BD95" s="705">
        <v>47515</v>
      </c>
      <c r="BE95" s="705">
        <v>47543</v>
      </c>
      <c r="BF95" s="705">
        <v>47574</v>
      </c>
      <c r="BG95" s="705">
        <v>47604</v>
      </c>
      <c r="BH95" s="705">
        <v>47635</v>
      </c>
      <c r="BI95" s="705">
        <v>47665</v>
      </c>
      <c r="BJ95" s="705">
        <v>47696</v>
      </c>
      <c r="BK95" s="705">
        <v>47727</v>
      </c>
      <c r="BL95" s="705">
        <v>47757</v>
      </c>
      <c r="BM95" s="705">
        <v>47788</v>
      </c>
      <c r="BN95" s="705">
        <v>47818</v>
      </c>
      <c r="BO95" s="706">
        <v>2030</v>
      </c>
      <c r="BP95" s="707"/>
    </row>
    <row r="96" spans="1:68" ht="13.5" customHeight="1">
      <c r="A96" s="708"/>
      <c r="B96" s="708"/>
      <c r="C96" s="709" t="s">
        <v>49</v>
      </c>
      <c r="D96" s="709" t="s">
        <v>50</v>
      </c>
      <c r="E96" s="709" t="s">
        <v>51</v>
      </c>
      <c r="F96" s="709" t="s">
        <v>52</v>
      </c>
      <c r="G96" s="709" t="s">
        <v>53</v>
      </c>
      <c r="H96" s="709" t="s">
        <v>54</v>
      </c>
      <c r="I96" s="709" t="s">
        <v>55</v>
      </c>
      <c r="J96" s="709" t="s">
        <v>56</v>
      </c>
      <c r="K96" s="709" t="s">
        <v>57</v>
      </c>
      <c r="L96" s="709" t="s">
        <v>58</v>
      </c>
      <c r="M96" s="709" t="s">
        <v>59</v>
      </c>
      <c r="N96" s="709" t="s">
        <v>60</v>
      </c>
      <c r="O96" s="710" t="s">
        <v>65</v>
      </c>
      <c r="P96" s="709" t="s">
        <v>291</v>
      </c>
      <c r="Q96" s="709" t="s">
        <v>308</v>
      </c>
      <c r="R96" s="709" t="s">
        <v>309</v>
      </c>
      <c r="S96" s="709" t="s">
        <v>310</v>
      </c>
      <c r="T96" s="709" t="s">
        <v>311</v>
      </c>
      <c r="U96" s="709" t="s">
        <v>312</v>
      </c>
      <c r="V96" s="709" t="s">
        <v>313</v>
      </c>
      <c r="W96" s="709" t="s">
        <v>314</v>
      </c>
      <c r="X96" s="709" t="s">
        <v>315</v>
      </c>
      <c r="Y96" s="709" t="s">
        <v>316</v>
      </c>
      <c r="Z96" s="709" t="s">
        <v>317</v>
      </c>
      <c r="AA96" s="709" t="s">
        <v>318</v>
      </c>
      <c r="AB96" s="711" t="s">
        <v>121</v>
      </c>
      <c r="AC96" s="709" t="s">
        <v>319</v>
      </c>
      <c r="AD96" s="709" t="s">
        <v>320</v>
      </c>
      <c r="AE96" s="709" t="s">
        <v>321</v>
      </c>
      <c r="AF96" s="709" t="s">
        <v>322</v>
      </c>
      <c r="AG96" s="709" t="s">
        <v>323</v>
      </c>
      <c r="AH96" s="709" t="s">
        <v>324</v>
      </c>
      <c r="AI96" s="709" t="s">
        <v>325</v>
      </c>
      <c r="AJ96" s="709" t="s">
        <v>326</v>
      </c>
      <c r="AK96" s="709" t="s">
        <v>327</v>
      </c>
      <c r="AL96" s="709" t="s">
        <v>328</v>
      </c>
      <c r="AM96" s="709" t="s">
        <v>329</v>
      </c>
      <c r="AN96" s="709" t="s">
        <v>330</v>
      </c>
      <c r="AO96" s="711" t="s">
        <v>122</v>
      </c>
      <c r="AP96" s="712" t="s">
        <v>331</v>
      </c>
      <c r="AQ96" s="712" t="s">
        <v>332</v>
      </c>
      <c r="AR96" s="712" t="s">
        <v>333</v>
      </c>
      <c r="AS96" s="712" t="s">
        <v>334</v>
      </c>
      <c r="AT96" s="712" t="s">
        <v>335</v>
      </c>
      <c r="AU96" s="712" t="s">
        <v>336</v>
      </c>
      <c r="AV96" s="712" t="s">
        <v>337</v>
      </c>
      <c r="AW96" s="712" t="s">
        <v>338</v>
      </c>
      <c r="AX96" s="712" t="s">
        <v>339</v>
      </c>
      <c r="AY96" s="712" t="s">
        <v>340</v>
      </c>
      <c r="AZ96" s="712" t="s">
        <v>341</v>
      </c>
      <c r="BA96" s="712" t="s">
        <v>342</v>
      </c>
      <c r="BB96" s="711" t="s">
        <v>123</v>
      </c>
      <c r="BC96" s="712" t="s">
        <v>343</v>
      </c>
      <c r="BD96" s="712" t="s">
        <v>344</v>
      </c>
      <c r="BE96" s="712" t="s">
        <v>345</v>
      </c>
      <c r="BF96" s="712" t="s">
        <v>346</v>
      </c>
      <c r="BG96" s="712" t="s">
        <v>347</v>
      </c>
      <c r="BH96" s="712" t="s">
        <v>348</v>
      </c>
      <c r="BI96" s="712" t="s">
        <v>349</v>
      </c>
      <c r="BJ96" s="712" t="s">
        <v>350</v>
      </c>
      <c r="BK96" s="712" t="s">
        <v>351</v>
      </c>
      <c r="BL96" s="712" t="s">
        <v>352</v>
      </c>
      <c r="BM96" s="712" t="s">
        <v>353</v>
      </c>
      <c r="BN96" s="712" t="s">
        <v>354</v>
      </c>
      <c r="BO96" s="711" t="s">
        <v>124</v>
      </c>
      <c r="BP96" s="713" t="s">
        <v>125</v>
      </c>
    </row>
    <row r="97" spans="1:68" ht="13.5" customHeight="1">
      <c r="A97" s="714" t="s">
        <v>20</v>
      </c>
      <c r="B97" s="714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6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6"/>
      <c r="AC97" s="715"/>
      <c r="AD97" s="715"/>
      <c r="AE97" s="715"/>
      <c r="AF97" s="715"/>
      <c r="AG97" s="715"/>
      <c r="AH97" s="715"/>
      <c r="AI97" s="715"/>
      <c r="AJ97" s="715"/>
      <c r="AK97" s="715"/>
      <c r="AL97" s="715"/>
      <c r="AM97" s="715"/>
      <c r="AN97" s="715"/>
      <c r="AO97" s="716"/>
      <c r="AP97" s="717"/>
      <c r="AQ97" s="717"/>
      <c r="AR97" s="717"/>
      <c r="AS97" s="717"/>
      <c r="AT97" s="717"/>
      <c r="AU97" s="717"/>
      <c r="AV97" s="717"/>
      <c r="AW97" s="717"/>
      <c r="AX97" s="717"/>
      <c r="AY97" s="717"/>
      <c r="AZ97" s="717"/>
      <c r="BA97" s="717"/>
      <c r="BB97" s="718"/>
      <c r="BC97" s="717"/>
      <c r="BD97" s="717"/>
      <c r="BE97" s="717"/>
      <c r="BF97" s="717"/>
      <c r="BG97" s="717"/>
      <c r="BH97" s="717"/>
      <c r="BI97" s="717"/>
      <c r="BJ97" s="717"/>
      <c r="BK97" s="717"/>
      <c r="BL97" s="717"/>
      <c r="BM97" s="717"/>
      <c r="BN97" s="717"/>
      <c r="BO97" s="718"/>
      <c r="BP97" s="719"/>
    </row>
    <row r="98" spans="1:68" ht="13.5" customHeight="1" thickBot="1">
      <c r="A98" s="720" t="s">
        <v>871</v>
      </c>
      <c r="B98" s="721"/>
      <c r="C98" s="722">
        <v>0</v>
      </c>
      <c r="D98" s="722">
        <v>0</v>
      </c>
      <c r="E98" s="723">
        <v>0</v>
      </c>
      <c r="F98" s="722">
        <v>0</v>
      </c>
      <c r="G98" s="722">
        <v>0</v>
      </c>
      <c r="H98" s="722">
        <v>0</v>
      </c>
      <c r="I98" s="722">
        <v>0</v>
      </c>
      <c r="J98" s="976">
        <v>0</v>
      </c>
      <c r="K98" s="722">
        <v>0</v>
      </c>
      <c r="L98" s="723">
        <v>0</v>
      </c>
      <c r="M98" s="722">
        <v>0</v>
      </c>
      <c r="N98" s="722"/>
      <c r="O98" s="724">
        <f t="shared" ref="O98:O102" si="0">SUM(C98:N98)</f>
        <v>0</v>
      </c>
      <c r="P98" s="722">
        <v>0</v>
      </c>
      <c r="Q98" s="722">
        <v>0</v>
      </c>
      <c r="R98" s="722">
        <v>0</v>
      </c>
      <c r="S98" s="723">
        <f>C88</f>
        <v>845253</v>
      </c>
      <c r="T98" s="722">
        <v>0</v>
      </c>
      <c r="U98" s="722">
        <v>0</v>
      </c>
      <c r="V98" s="722">
        <v>0</v>
      </c>
      <c r="W98" s="722">
        <v>0</v>
      </c>
      <c r="X98" s="723">
        <v>0</v>
      </c>
      <c r="Y98" s="722">
        <f>H88</f>
        <v>1951846.25</v>
      </c>
      <c r="Z98" s="722">
        <v>0</v>
      </c>
      <c r="AA98" s="722">
        <v>0</v>
      </c>
      <c r="AB98" s="724">
        <f t="shared" ref="AB98:AB102" si="1">SUM(P98:AA98)</f>
        <v>2797099.25</v>
      </c>
      <c r="AC98" s="722">
        <v>0</v>
      </c>
      <c r="AD98" s="722">
        <v>0</v>
      </c>
      <c r="AE98" s="723">
        <v>0</v>
      </c>
      <c r="AF98" s="722">
        <f>M88</f>
        <v>999235.65</v>
      </c>
      <c r="AG98" s="722">
        <v>0</v>
      </c>
      <c r="AH98" s="722">
        <v>0</v>
      </c>
      <c r="AI98" s="722">
        <f>AG88</f>
        <v>0</v>
      </c>
      <c r="AJ98" s="722">
        <v>0</v>
      </c>
      <c r="AK98" s="722">
        <v>0</v>
      </c>
      <c r="AL98" s="722">
        <f>R88</f>
        <v>999235.65</v>
      </c>
      <c r="AM98" s="722">
        <v>0</v>
      </c>
      <c r="AN98" s="722">
        <v>0</v>
      </c>
      <c r="AO98" s="724">
        <f>SUM(AC98:AN98)</f>
        <v>1998471.3</v>
      </c>
      <c r="AP98" s="722">
        <f>AQ88</f>
        <v>0</v>
      </c>
      <c r="AQ98" s="722">
        <v>0</v>
      </c>
      <c r="AR98" s="722">
        <v>0</v>
      </c>
      <c r="AS98" s="722">
        <f>W88</f>
        <v>1046818.3</v>
      </c>
      <c r="AT98" s="722">
        <v>0</v>
      </c>
      <c r="AU98" s="722">
        <v>0</v>
      </c>
      <c r="AV98" s="722">
        <f>AG88</f>
        <v>0</v>
      </c>
      <c r="AW98" s="722">
        <v>0</v>
      </c>
      <c r="AX98" s="722">
        <v>0</v>
      </c>
      <c r="AY98" s="722">
        <f>AB88</f>
        <v>1046818.3</v>
      </c>
      <c r="AZ98" s="725">
        <v>0</v>
      </c>
      <c r="BA98" s="722">
        <v>0</v>
      </c>
      <c r="BB98" s="724">
        <f t="shared" ref="BB98:BB102" si="2">SUM(AP98:BA98)</f>
        <v>2093636.6</v>
      </c>
      <c r="BC98" s="722">
        <f>AQ88</f>
        <v>0</v>
      </c>
      <c r="BD98" s="722">
        <v>0</v>
      </c>
      <c r="BE98" s="722">
        <v>0</v>
      </c>
      <c r="BF98" s="722">
        <v>0</v>
      </c>
      <c r="BG98" s="722">
        <v>0</v>
      </c>
      <c r="BH98" s="722">
        <v>0</v>
      </c>
      <c r="BI98" s="722">
        <f>AG88</f>
        <v>0</v>
      </c>
      <c r="BJ98" s="722">
        <v>0</v>
      </c>
      <c r="BK98" s="722">
        <v>0</v>
      </c>
      <c r="BL98" s="722">
        <f>AL88</f>
        <v>0</v>
      </c>
      <c r="BM98" s="725">
        <v>0</v>
      </c>
      <c r="BN98" s="722">
        <f>AQ88</f>
        <v>0</v>
      </c>
      <c r="BO98" s="724">
        <f t="shared" ref="BO98:BO102" si="3">SUM(BC98:BN98)</f>
        <v>0</v>
      </c>
      <c r="BP98" s="726">
        <f>O98+AB98+AO98+BB98+BO98</f>
        <v>6889207.1500000004</v>
      </c>
    </row>
    <row r="99" spans="1:68" ht="13.5" customHeight="1" thickBot="1">
      <c r="A99" s="720" t="s">
        <v>72</v>
      </c>
      <c r="B99" s="721"/>
      <c r="C99" s="722"/>
      <c r="D99" s="722"/>
      <c r="E99" s="723">
        <v>0</v>
      </c>
      <c r="F99" s="722">
        <v>0</v>
      </c>
      <c r="G99" s="722">
        <v>0</v>
      </c>
      <c r="H99" s="722">
        <v>0</v>
      </c>
      <c r="I99" s="722">
        <v>0</v>
      </c>
      <c r="J99" s="722">
        <v>0</v>
      </c>
      <c r="K99" s="722">
        <v>0</v>
      </c>
      <c r="L99" s="722">
        <v>0</v>
      </c>
      <c r="M99" s="722">
        <v>0</v>
      </c>
      <c r="N99" s="722"/>
      <c r="O99" s="724">
        <f t="shared" si="0"/>
        <v>0</v>
      </c>
      <c r="P99" s="722">
        <v>0</v>
      </c>
      <c r="Q99" s="722"/>
      <c r="R99" s="722">
        <v>0</v>
      </c>
      <c r="S99" s="723">
        <f>-C89</f>
        <v>422626.5</v>
      </c>
      <c r="T99" s="722">
        <v>0</v>
      </c>
      <c r="U99" s="722">
        <v>0</v>
      </c>
      <c r="V99" s="722">
        <v>0</v>
      </c>
      <c r="W99" s="722"/>
      <c r="X99" s="723">
        <v>0</v>
      </c>
      <c r="Y99" s="722">
        <f>-H89</f>
        <v>975923.13</v>
      </c>
      <c r="Z99" s="722">
        <v>0</v>
      </c>
      <c r="AA99" s="722">
        <v>0</v>
      </c>
      <c r="AB99" s="724">
        <f t="shared" si="1"/>
        <v>1398549.63</v>
      </c>
      <c r="AC99" s="722">
        <v>0</v>
      </c>
      <c r="AD99" s="722">
        <v>0</v>
      </c>
      <c r="AE99" s="723">
        <v>0</v>
      </c>
      <c r="AF99" s="722">
        <f>-M89</f>
        <v>499617.83</v>
      </c>
      <c r="AG99" s="722">
        <v>0</v>
      </c>
      <c r="AH99" s="722">
        <v>0</v>
      </c>
      <c r="AI99" s="722">
        <f>-AG89</f>
        <v>0</v>
      </c>
      <c r="AJ99" s="722"/>
      <c r="AK99" s="722"/>
      <c r="AL99" s="722">
        <f>-R89</f>
        <v>499617.83</v>
      </c>
      <c r="AM99" s="722">
        <v>0</v>
      </c>
      <c r="AN99" s="722"/>
      <c r="AO99" s="724">
        <f>SUM(AC99:AN99)</f>
        <v>999235.66</v>
      </c>
      <c r="AP99" s="722">
        <f>-AQ89</f>
        <v>0</v>
      </c>
      <c r="AQ99" s="722">
        <v>0</v>
      </c>
      <c r="AR99" s="722"/>
      <c r="AS99" s="722">
        <f>-W89</f>
        <v>523409.15</v>
      </c>
      <c r="AT99" s="722"/>
      <c r="AU99" s="722"/>
      <c r="AV99" s="722">
        <f>-AG89</f>
        <v>0</v>
      </c>
      <c r="AW99" s="722"/>
      <c r="AX99" s="722"/>
      <c r="AY99" s="722">
        <f>-AB89</f>
        <v>523409.15</v>
      </c>
      <c r="AZ99" s="725"/>
      <c r="BA99" s="722"/>
      <c r="BB99" s="724">
        <f t="shared" si="2"/>
        <v>1046818.3</v>
      </c>
      <c r="BC99" s="722">
        <f>-AQ89</f>
        <v>0</v>
      </c>
      <c r="BD99" s="722"/>
      <c r="BE99" s="722"/>
      <c r="BF99" s="722"/>
      <c r="BG99" s="722"/>
      <c r="BH99" s="722"/>
      <c r="BI99" s="722">
        <f>-AG89</f>
        <v>0</v>
      </c>
      <c r="BJ99" s="722"/>
      <c r="BK99" s="722"/>
      <c r="BL99" s="722">
        <f>-AL89</f>
        <v>0</v>
      </c>
      <c r="BM99" s="725"/>
      <c r="BN99" s="722">
        <f>-AQ89</f>
        <v>0</v>
      </c>
      <c r="BO99" s="724">
        <f t="shared" si="3"/>
        <v>0</v>
      </c>
      <c r="BP99" s="726">
        <f>O99+AB99+AO99+BB99+BO99</f>
        <v>3444603.59</v>
      </c>
    </row>
    <row r="100" spans="1:68" ht="13.5" customHeight="1" thickBot="1">
      <c r="A100" s="720" t="s">
        <v>73</v>
      </c>
      <c r="B100" s="727">
        <f>'CB Inputs'!G13</f>
        <v>0.01</v>
      </c>
      <c r="C100" s="722">
        <f>C98*$B$100</f>
        <v>0</v>
      </c>
      <c r="D100" s="722">
        <f t="shared" ref="D100:N100" si="4">D98*$B$100</f>
        <v>0</v>
      </c>
      <c r="E100" s="722">
        <f t="shared" si="4"/>
        <v>0</v>
      </c>
      <c r="F100" s="722">
        <f t="shared" si="4"/>
        <v>0</v>
      </c>
      <c r="G100" s="722">
        <f t="shared" si="4"/>
        <v>0</v>
      </c>
      <c r="H100" s="722">
        <f t="shared" si="4"/>
        <v>0</v>
      </c>
      <c r="I100" s="722">
        <f t="shared" si="4"/>
        <v>0</v>
      </c>
      <c r="J100" s="722">
        <f t="shared" si="4"/>
        <v>0</v>
      </c>
      <c r="K100" s="722">
        <f t="shared" si="4"/>
        <v>0</v>
      </c>
      <c r="L100" s="722">
        <f t="shared" si="4"/>
        <v>0</v>
      </c>
      <c r="M100" s="722">
        <f t="shared" si="4"/>
        <v>0</v>
      </c>
      <c r="N100" s="722">
        <f t="shared" si="4"/>
        <v>0</v>
      </c>
      <c r="O100" s="724">
        <f t="shared" si="0"/>
        <v>0</v>
      </c>
      <c r="P100" s="722">
        <f>P98*$B$100</f>
        <v>0</v>
      </c>
      <c r="Q100" s="722">
        <f t="shared" ref="Q100:AA100" si="5">Q98*$B$100</f>
        <v>0</v>
      </c>
      <c r="R100" s="722">
        <f t="shared" si="5"/>
        <v>0</v>
      </c>
      <c r="S100" s="722">
        <f t="shared" si="5"/>
        <v>8452.5300000000007</v>
      </c>
      <c r="T100" s="722">
        <f t="shared" si="5"/>
        <v>0</v>
      </c>
      <c r="U100" s="722">
        <f t="shared" si="5"/>
        <v>0</v>
      </c>
      <c r="V100" s="722">
        <f t="shared" si="5"/>
        <v>0</v>
      </c>
      <c r="W100" s="722">
        <f t="shared" si="5"/>
        <v>0</v>
      </c>
      <c r="X100" s="722">
        <f t="shared" si="5"/>
        <v>0</v>
      </c>
      <c r="Y100" s="722">
        <f t="shared" si="5"/>
        <v>19518.462500000001</v>
      </c>
      <c r="Z100" s="722">
        <f t="shared" si="5"/>
        <v>0</v>
      </c>
      <c r="AA100" s="722">
        <f t="shared" si="5"/>
        <v>0</v>
      </c>
      <c r="AB100" s="724">
        <f t="shared" si="1"/>
        <v>27970.9925</v>
      </c>
      <c r="AC100" s="722">
        <f>AC98*$B$100</f>
        <v>0</v>
      </c>
      <c r="AD100" s="722">
        <f t="shared" ref="AD100:AN100" si="6">AD98*$B$100</f>
        <v>0</v>
      </c>
      <c r="AE100" s="722">
        <f t="shared" si="6"/>
        <v>0</v>
      </c>
      <c r="AF100" s="722">
        <f t="shared" si="6"/>
        <v>9992.3564999999999</v>
      </c>
      <c r="AG100" s="722">
        <f t="shared" si="6"/>
        <v>0</v>
      </c>
      <c r="AH100" s="722">
        <f t="shared" si="6"/>
        <v>0</v>
      </c>
      <c r="AI100" s="722">
        <f t="shared" si="6"/>
        <v>0</v>
      </c>
      <c r="AJ100" s="722">
        <f t="shared" si="6"/>
        <v>0</v>
      </c>
      <c r="AK100" s="722">
        <f t="shared" si="6"/>
        <v>0</v>
      </c>
      <c r="AL100" s="722">
        <f t="shared" si="6"/>
        <v>9992.3564999999999</v>
      </c>
      <c r="AM100" s="722">
        <f t="shared" si="6"/>
        <v>0</v>
      </c>
      <c r="AN100" s="722">
        <f t="shared" si="6"/>
        <v>0</v>
      </c>
      <c r="AO100" s="724">
        <f>SUM(AC100:AN100)</f>
        <v>19984.713</v>
      </c>
      <c r="AP100" s="722">
        <f>AP98*$B$100</f>
        <v>0</v>
      </c>
      <c r="AQ100" s="722">
        <f t="shared" ref="AQ100:BA100" si="7">AQ98*$B$100</f>
        <v>0</v>
      </c>
      <c r="AR100" s="722">
        <f t="shared" si="7"/>
        <v>0</v>
      </c>
      <c r="AS100" s="722">
        <f t="shared" si="7"/>
        <v>10468.183000000001</v>
      </c>
      <c r="AT100" s="722">
        <f t="shared" si="7"/>
        <v>0</v>
      </c>
      <c r="AU100" s="722">
        <f t="shared" si="7"/>
        <v>0</v>
      </c>
      <c r="AV100" s="722">
        <f t="shared" si="7"/>
        <v>0</v>
      </c>
      <c r="AW100" s="722">
        <f t="shared" si="7"/>
        <v>0</v>
      </c>
      <c r="AX100" s="722">
        <f t="shared" si="7"/>
        <v>0</v>
      </c>
      <c r="AY100" s="722">
        <f t="shared" si="7"/>
        <v>10468.183000000001</v>
      </c>
      <c r="AZ100" s="722">
        <f t="shared" si="7"/>
        <v>0</v>
      </c>
      <c r="BA100" s="722">
        <f t="shared" si="7"/>
        <v>0</v>
      </c>
      <c r="BB100" s="724">
        <f t="shared" si="2"/>
        <v>20936.366000000002</v>
      </c>
      <c r="BC100" s="722">
        <f>BC98*$B$100</f>
        <v>0</v>
      </c>
      <c r="BD100" s="722">
        <f t="shared" ref="BD100:BN100" si="8">BD98*$B$100</f>
        <v>0</v>
      </c>
      <c r="BE100" s="722">
        <f t="shared" si="8"/>
        <v>0</v>
      </c>
      <c r="BF100" s="722">
        <f t="shared" si="8"/>
        <v>0</v>
      </c>
      <c r="BG100" s="722">
        <f t="shared" si="8"/>
        <v>0</v>
      </c>
      <c r="BH100" s="722">
        <f t="shared" si="8"/>
        <v>0</v>
      </c>
      <c r="BI100" s="722">
        <f t="shared" si="8"/>
        <v>0</v>
      </c>
      <c r="BJ100" s="722">
        <f t="shared" si="8"/>
        <v>0</v>
      </c>
      <c r="BK100" s="722">
        <f t="shared" si="8"/>
        <v>0</v>
      </c>
      <c r="BL100" s="722">
        <f t="shared" si="8"/>
        <v>0</v>
      </c>
      <c r="BM100" s="722">
        <f t="shared" si="8"/>
        <v>0</v>
      </c>
      <c r="BN100" s="722">
        <f t="shared" si="8"/>
        <v>0</v>
      </c>
      <c r="BO100" s="724">
        <f t="shared" si="3"/>
        <v>0</v>
      </c>
      <c r="BP100" s="726">
        <f>O100+AB100+AO100+BB100+BO100</f>
        <v>68892.071499999991</v>
      </c>
    </row>
    <row r="101" spans="1:68" ht="13.5" customHeight="1" thickBot="1">
      <c r="A101" s="720" t="s">
        <v>77</v>
      </c>
      <c r="B101" s="727">
        <f>'CB Inputs'!G6</f>
        <v>0.1</v>
      </c>
      <c r="C101" s="722">
        <v>0</v>
      </c>
      <c r="D101" s="722">
        <v>0</v>
      </c>
      <c r="E101" s="722">
        <v>0</v>
      </c>
      <c r="F101" s="722">
        <f>ROUND(SUM(C98:E98)*$B$101,0)</f>
        <v>0</v>
      </c>
      <c r="G101" s="722">
        <v>0</v>
      </c>
      <c r="H101" s="722">
        <v>0</v>
      </c>
      <c r="I101" s="722">
        <v>0</v>
      </c>
      <c r="J101" s="722">
        <f>ROUND(SUM(G98:I98)*$B$101,0)</f>
        <v>0</v>
      </c>
      <c r="K101" s="722">
        <v>0</v>
      </c>
      <c r="L101" s="722">
        <v>0</v>
      </c>
      <c r="M101" s="722">
        <v>100000</v>
      </c>
      <c r="N101" s="722">
        <f>ROUND(SUM(K98:M98)*$B$101,0)</f>
        <v>0</v>
      </c>
      <c r="O101" s="724">
        <f t="shared" si="0"/>
        <v>100000</v>
      </c>
      <c r="P101" s="722">
        <f>ROUND(SUM(L98:N98)*$B$101,0)</f>
        <v>0</v>
      </c>
      <c r="Q101" s="722">
        <v>0</v>
      </c>
      <c r="R101" s="722">
        <v>0</v>
      </c>
      <c r="S101" s="722">
        <f>ROUND(SUM(P98:R98)*$B$101,0)</f>
        <v>0</v>
      </c>
      <c r="T101" s="722">
        <v>0</v>
      </c>
      <c r="U101" s="722">
        <v>0</v>
      </c>
      <c r="V101" s="722">
        <f>IF(ROUND(SUM(S98:U98)*$B$101,0)-SUM(L101:N101)-SUM(P101:U101)&lt;0,0,(ROUND(SUM(S98:U98)*$B$101,0)-SUM(L101:N101)-SUM(P101:U101)))</f>
        <v>0</v>
      </c>
      <c r="W101" s="722">
        <v>0</v>
      </c>
      <c r="X101" s="722">
        <v>0</v>
      </c>
      <c r="Y101" s="722">
        <f>ROUND(SUM(V98:X98)*$B$101,0)</f>
        <v>0</v>
      </c>
      <c r="Z101" s="722">
        <v>100000</v>
      </c>
      <c r="AA101" s="722">
        <v>0</v>
      </c>
      <c r="AB101" s="724">
        <f t="shared" si="1"/>
        <v>100000</v>
      </c>
      <c r="AC101" s="722">
        <f>ROUND(SUM(Y98:AA98)*$B$101,0)-SUM(W101:AA101)</f>
        <v>95185</v>
      </c>
      <c r="AD101" s="722">
        <v>0</v>
      </c>
      <c r="AE101" s="722">
        <v>0</v>
      </c>
      <c r="AF101" s="722">
        <f>ROUND(SUM(AC98:AE98)*$B$101,0)</f>
        <v>0</v>
      </c>
      <c r="AG101" s="722">
        <v>0</v>
      </c>
      <c r="AH101" s="722">
        <v>0</v>
      </c>
      <c r="AI101" s="722">
        <f>ROUND(SUM(AF98:AH98)*$B$101,0)</f>
        <v>99924</v>
      </c>
      <c r="AJ101" s="722">
        <v>0</v>
      </c>
      <c r="AK101" s="722">
        <v>0</v>
      </c>
      <c r="AL101" s="722">
        <f>ROUND(SUM(AI98:AK98)*$B$101,0)</f>
        <v>0</v>
      </c>
      <c r="AM101" s="722">
        <v>0</v>
      </c>
      <c r="AN101" s="722">
        <v>0</v>
      </c>
      <c r="AO101" s="724">
        <f>SUM(AC101:AN101)</f>
        <v>195109</v>
      </c>
      <c r="AP101" s="722">
        <f>ROUND(SUM(AL98:AN98)*$B$101,0)</f>
        <v>99924</v>
      </c>
      <c r="AQ101" s="722">
        <v>0</v>
      </c>
      <c r="AR101" s="722">
        <v>0</v>
      </c>
      <c r="AS101" s="722">
        <f>ROUND(SUM(AP98:AR98)*$B$101,0)</f>
        <v>0</v>
      </c>
      <c r="AT101" s="722">
        <v>0</v>
      </c>
      <c r="AU101" s="722">
        <v>0</v>
      </c>
      <c r="AV101" s="722">
        <f>ROUND(SUM(AS98:AU98)*$B$101,0)</f>
        <v>104682</v>
      </c>
      <c r="AW101" s="722">
        <v>0</v>
      </c>
      <c r="AX101" s="722">
        <v>0</v>
      </c>
      <c r="AY101" s="722">
        <f>ROUND(SUM(AV98:AX98)*$B$101,0)</f>
        <v>0</v>
      </c>
      <c r="AZ101" s="722">
        <v>0</v>
      </c>
      <c r="BA101" s="722">
        <v>0</v>
      </c>
      <c r="BB101" s="724">
        <f t="shared" si="2"/>
        <v>204606</v>
      </c>
      <c r="BC101" s="722">
        <f>ROUND(SUM(AY98:BA98)*$B$101,0)</f>
        <v>104682</v>
      </c>
      <c r="BD101" s="722">
        <v>0</v>
      </c>
      <c r="BE101" s="722">
        <v>0</v>
      </c>
      <c r="BF101" s="722">
        <f>ROUND(SUM(BC98:BE98)*$B$101,0)</f>
        <v>0</v>
      </c>
      <c r="BG101" s="722">
        <v>0</v>
      </c>
      <c r="BH101" s="722">
        <v>0</v>
      </c>
      <c r="BI101" s="722">
        <f>ROUND(SUM(BF98:BH98)*$B$101,0)</f>
        <v>0</v>
      </c>
      <c r="BJ101" s="722">
        <v>0</v>
      </c>
      <c r="BK101" s="722">
        <v>0</v>
      </c>
      <c r="BL101" s="722">
        <f>ROUND(SUM(BI98:BK98)*$B$101,0)</f>
        <v>0</v>
      </c>
      <c r="BM101" s="722">
        <v>0</v>
      </c>
      <c r="BN101" s="722">
        <v>0</v>
      </c>
      <c r="BO101" s="724">
        <f t="shared" si="3"/>
        <v>104682</v>
      </c>
      <c r="BP101" s="726">
        <f>O101+AB101+AO101+BB101+BO101</f>
        <v>704397</v>
      </c>
    </row>
    <row r="102" spans="1:68" s="733" customFormat="1" ht="13.5" customHeight="1" thickBot="1">
      <c r="A102" s="728" t="s">
        <v>5</v>
      </c>
      <c r="B102" s="729"/>
      <c r="C102" s="730">
        <f>C98-C99-C100-C101</f>
        <v>0</v>
      </c>
      <c r="D102" s="730">
        <f t="shared" ref="D102:N102" si="9">D98-D99-D100-D101</f>
        <v>0</v>
      </c>
      <c r="E102" s="730">
        <f t="shared" si="9"/>
        <v>0</v>
      </c>
      <c r="F102" s="730">
        <f t="shared" si="9"/>
        <v>0</v>
      </c>
      <c r="G102" s="730">
        <f t="shared" si="9"/>
        <v>0</v>
      </c>
      <c r="H102" s="730">
        <f t="shared" si="9"/>
        <v>0</v>
      </c>
      <c r="I102" s="730">
        <f t="shared" si="9"/>
        <v>0</v>
      </c>
      <c r="J102" s="730">
        <f t="shared" si="9"/>
        <v>0</v>
      </c>
      <c r="K102" s="730">
        <f t="shared" si="9"/>
        <v>0</v>
      </c>
      <c r="L102" s="730">
        <f t="shared" si="9"/>
        <v>0</v>
      </c>
      <c r="M102" s="730">
        <f t="shared" si="9"/>
        <v>-100000</v>
      </c>
      <c r="N102" s="730">
        <f t="shared" si="9"/>
        <v>0</v>
      </c>
      <c r="O102" s="731">
        <f t="shared" si="0"/>
        <v>-100000</v>
      </c>
      <c r="P102" s="730">
        <f>P98-P99-P100-P101</f>
        <v>0</v>
      </c>
      <c r="Q102" s="730">
        <f t="shared" ref="Q102:AA102" si="10">Q98-Q99-Q100-Q101</f>
        <v>0</v>
      </c>
      <c r="R102" s="730">
        <f t="shared" si="10"/>
        <v>0</v>
      </c>
      <c r="S102" s="730">
        <f t="shared" si="10"/>
        <v>414173.97</v>
      </c>
      <c r="T102" s="730">
        <f t="shared" si="10"/>
        <v>0</v>
      </c>
      <c r="U102" s="730">
        <f t="shared" si="10"/>
        <v>0</v>
      </c>
      <c r="V102" s="730">
        <f t="shared" si="10"/>
        <v>0</v>
      </c>
      <c r="W102" s="730">
        <f t="shared" si="10"/>
        <v>0</v>
      </c>
      <c r="X102" s="730">
        <f t="shared" si="10"/>
        <v>0</v>
      </c>
      <c r="Y102" s="730">
        <f t="shared" si="10"/>
        <v>956404.65749999997</v>
      </c>
      <c r="Z102" s="730">
        <f t="shared" si="10"/>
        <v>-100000</v>
      </c>
      <c r="AA102" s="730">
        <f t="shared" si="10"/>
        <v>0</v>
      </c>
      <c r="AB102" s="731">
        <f t="shared" si="1"/>
        <v>1270578.6274999999</v>
      </c>
      <c r="AC102" s="730">
        <f>AC98-AC99-AC100-AC101</f>
        <v>-95185</v>
      </c>
      <c r="AD102" s="730">
        <f t="shared" ref="AD102:AN102" si="11">AD98-AD99-AD100-AD101</f>
        <v>0</v>
      </c>
      <c r="AE102" s="730">
        <f t="shared" si="11"/>
        <v>0</v>
      </c>
      <c r="AF102" s="730">
        <f t="shared" si="11"/>
        <v>489625.46350000001</v>
      </c>
      <c r="AG102" s="730">
        <f t="shared" si="11"/>
        <v>0</v>
      </c>
      <c r="AH102" s="730">
        <f t="shared" si="11"/>
        <v>0</v>
      </c>
      <c r="AI102" s="730">
        <f t="shared" si="11"/>
        <v>-99924</v>
      </c>
      <c r="AJ102" s="730">
        <f t="shared" si="11"/>
        <v>0</v>
      </c>
      <c r="AK102" s="730">
        <f t="shared" si="11"/>
        <v>0</v>
      </c>
      <c r="AL102" s="730">
        <f t="shared" si="11"/>
        <v>489625.46350000001</v>
      </c>
      <c r="AM102" s="730">
        <f t="shared" si="11"/>
        <v>0</v>
      </c>
      <c r="AN102" s="730">
        <f t="shared" si="11"/>
        <v>0</v>
      </c>
      <c r="AO102" s="731">
        <f>SUM(AC102:AN102)</f>
        <v>784141.92700000003</v>
      </c>
      <c r="AP102" s="730">
        <f>AP98-AP99-AP100-AP101</f>
        <v>-99924</v>
      </c>
      <c r="AQ102" s="730">
        <f t="shared" ref="AQ102:BA102" si="12">AQ98-AQ99-AQ100-AQ101</f>
        <v>0</v>
      </c>
      <c r="AR102" s="730">
        <f t="shared" si="12"/>
        <v>0</v>
      </c>
      <c r="AS102" s="730">
        <f t="shared" si="12"/>
        <v>512940.967</v>
      </c>
      <c r="AT102" s="730">
        <f t="shared" si="12"/>
        <v>0</v>
      </c>
      <c r="AU102" s="730">
        <f t="shared" si="12"/>
        <v>0</v>
      </c>
      <c r="AV102" s="730">
        <f t="shared" si="12"/>
        <v>-104682</v>
      </c>
      <c r="AW102" s="730">
        <f t="shared" si="12"/>
        <v>0</v>
      </c>
      <c r="AX102" s="730">
        <f t="shared" si="12"/>
        <v>0</v>
      </c>
      <c r="AY102" s="730">
        <f t="shared" si="12"/>
        <v>512940.967</v>
      </c>
      <c r="AZ102" s="730">
        <f t="shared" si="12"/>
        <v>0</v>
      </c>
      <c r="BA102" s="730">
        <f t="shared" si="12"/>
        <v>0</v>
      </c>
      <c r="BB102" s="731">
        <f t="shared" si="2"/>
        <v>821275.93400000001</v>
      </c>
      <c r="BC102" s="730">
        <f>BC98-BC99-BC100-BC101</f>
        <v>-104682</v>
      </c>
      <c r="BD102" s="730">
        <f t="shared" ref="BD102:BN102" si="13">BD98-BD99-BD100-BD101</f>
        <v>0</v>
      </c>
      <c r="BE102" s="730">
        <f t="shared" si="13"/>
        <v>0</v>
      </c>
      <c r="BF102" s="730">
        <f t="shared" si="13"/>
        <v>0</v>
      </c>
      <c r="BG102" s="730">
        <f t="shared" si="13"/>
        <v>0</v>
      </c>
      <c r="BH102" s="730">
        <f t="shared" si="13"/>
        <v>0</v>
      </c>
      <c r="BI102" s="730">
        <f t="shared" si="13"/>
        <v>0</v>
      </c>
      <c r="BJ102" s="730">
        <f t="shared" si="13"/>
        <v>0</v>
      </c>
      <c r="BK102" s="730">
        <f t="shared" si="13"/>
        <v>0</v>
      </c>
      <c r="BL102" s="730">
        <f t="shared" si="13"/>
        <v>0</v>
      </c>
      <c r="BM102" s="730">
        <f t="shared" si="13"/>
        <v>0</v>
      </c>
      <c r="BN102" s="730">
        <f t="shared" si="13"/>
        <v>0</v>
      </c>
      <c r="BO102" s="731">
        <f t="shared" si="3"/>
        <v>-104682</v>
      </c>
      <c r="BP102" s="732">
        <f>O102+AB102+AO102+BB102+BO102</f>
        <v>2671314.4885</v>
      </c>
    </row>
    <row r="103" spans="1:68" s="556" customFormat="1">
      <c r="B103" s="543"/>
      <c r="C103" s="543"/>
      <c r="D103" s="543"/>
      <c r="E103" s="543"/>
      <c r="F103" s="543"/>
      <c r="G103" s="543"/>
      <c r="H103" s="543"/>
      <c r="J103" s="551"/>
      <c r="L103" s="543"/>
      <c r="O103" s="543"/>
      <c r="Q103" s="543"/>
      <c r="T103" s="543"/>
      <c r="V103" s="543"/>
      <c r="Y103" s="543"/>
      <c r="AB103" s="619"/>
    </row>
    <row r="104" spans="1:68">
      <c r="M104" s="980"/>
    </row>
    <row r="105" spans="1:68">
      <c r="L105" s="974"/>
      <c r="M105" s="980"/>
    </row>
    <row r="106" spans="1:68">
      <c r="M106" s="980"/>
    </row>
  </sheetData>
  <mergeCells count="150">
    <mergeCell ref="E5:E6"/>
    <mergeCell ref="G5:G6"/>
    <mergeCell ref="H5:H6"/>
    <mergeCell ref="AP5:AP6"/>
    <mergeCell ref="AQ5:AQ6"/>
    <mergeCell ref="AR5:AR6"/>
    <mergeCell ref="AA5:AA6"/>
    <mergeCell ref="AB5:AB6"/>
    <mergeCell ref="AC5:AC6"/>
    <mergeCell ref="AF5:AF6"/>
    <mergeCell ref="AG5:AG6"/>
    <mergeCell ref="AH5:AH6"/>
    <mergeCell ref="B21:B22"/>
    <mergeCell ref="C21:C22"/>
    <mergeCell ref="D21:D22"/>
    <mergeCell ref="E21:E22"/>
    <mergeCell ref="G21:G22"/>
    <mergeCell ref="H21:H22"/>
    <mergeCell ref="AK5:AK6"/>
    <mergeCell ref="AL5:AL6"/>
    <mergeCell ref="AM5:AM6"/>
    <mergeCell ref="Q5:Q6"/>
    <mergeCell ref="R5:R6"/>
    <mergeCell ref="S5:S6"/>
    <mergeCell ref="V5:V6"/>
    <mergeCell ref="W5:W6"/>
    <mergeCell ref="X5:X6"/>
    <mergeCell ref="I5:I6"/>
    <mergeCell ref="J5:J6"/>
    <mergeCell ref="L5:L6"/>
    <mergeCell ref="M5:M6"/>
    <mergeCell ref="N5:N6"/>
    <mergeCell ref="O5:O6"/>
    <mergeCell ref="B5:B6"/>
    <mergeCell ref="C5:C6"/>
    <mergeCell ref="D5:D6"/>
    <mergeCell ref="Q21:Q22"/>
    <mergeCell ref="R21:R22"/>
    <mergeCell ref="S21:S22"/>
    <mergeCell ref="V21:V22"/>
    <mergeCell ref="W21:W22"/>
    <mergeCell ref="X21:X22"/>
    <mergeCell ref="I21:I22"/>
    <mergeCell ref="J21:J22"/>
    <mergeCell ref="L21:L22"/>
    <mergeCell ref="M21:M22"/>
    <mergeCell ref="N21:N22"/>
    <mergeCell ref="O21:O22"/>
    <mergeCell ref="AK21:AK22"/>
    <mergeCell ref="AL21:AL22"/>
    <mergeCell ref="AM21:AM22"/>
    <mergeCell ref="AP21:AP22"/>
    <mergeCell ref="AQ21:AQ22"/>
    <mergeCell ref="AR21:AR22"/>
    <mergeCell ref="AA21:AA22"/>
    <mergeCell ref="AB21:AB22"/>
    <mergeCell ref="AC21:AC22"/>
    <mergeCell ref="AF21:AF22"/>
    <mergeCell ref="AG21:AG22"/>
    <mergeCell ref="AH21:AH22"/>
    <mergeCell ref="M37:M38"/>
    <mergeCell ref="N37:N38"/>
    <mergeCell ref="O37:O38"/>
    <mergeCell ref="B37:B38"/>
    <mergeCell ref="C37:C38"/>
    <mergeCell ref="D37:D38"/>
    <mergeCell ref="E37:E38"/>
    <mergeCell ref="G37:G38"/>
    <mergeCell ref="H37:H38"/>
    <mergeCell ref="E53:E54"/>
    <mergeCell ref="G53:G54"/>
    <mergeCell ref="H53:H54"/>
    <mergeCell ref="AK37:AK38"/>
    <mergeCell ref="AL37:AL38"/>
    <mergeCell ref="AM37:AM38"/>
    <mergeCell ref="AP37:AP38"/>
    <mergeCell ref="AQ37:AQ38"/>
    <mergeCell ref="AR37:AR38"/>
    <mergeCell ref="AA37:AA38"/>
    <mergeCell ref="AB37:AB38"/>
    <mergeCell ref="AC37:AC38"/>
    <mergeCell ref="AF37:AF38"/>
    <mergeCell ref="AG37:AG38"/>
    <mergeCell ref="AH37:AH38"/>
    <mergeCell ref="Q37:Q38"/>
    <mergeCell ref="R37:R38"/>
    <mergeCell ref="S37:S38"/>
    <mergeCell ref="V37:V38"/>
    <mergeCell ref="W37:W38"/>
    <mergeCell ref="X37:X38"/>
    <mergeCell ref="I37:I38"/>
    <mergeCell ref="J37:J38"/>
    <mergeCell ref="L37:L38"/>
    <mergeCell ref="AP53:AP54"/>
    <mergeCell ref="AQ53:AQ54"/>
    <mergeCell ref="AR53:AR54"/>
    <mergeCell ref="AA53:AA54"/>
    <mergeCell ref="AB53:AB54"/>
    <mergeCell ref="AC53:AC54"/>
    <mergeCell ref="AF53:AF54"/>
    <mergeCell ref="AG53:AG54"/>
    <mergeCell ref="AH53:AH54"/>
    <mergeCell ref="B69:B70"/>
    <mergeCell ref="C69:C70"/>
    <mergeCell ref="D69:D70"/>
    <mergeCell ref="E69:E70"/>
    <mergeCell ref="G69:G70"/>
    <mergeCell ref="H69:H70"/>
    <mergeCell ref="AK53:AK54"/>
    <mergeCell ref="AL53:AL54"/>
    <mergeCell ref="AM53:AM54"/>
    <mergeCell ref="Q53:Q54"/>
    <mergeCell ref="R53:R54"/>
    <mergeCell ref="S53:S54"/>
    <mergeCell ref="V53:V54"/>
    <mergeCell ref="W53:W54"/>
    <mergeCell ref="X53:X54"/>
    <mergeCell ref="I53:I54"/>
    <mergeCell ref="J53:J54"/>
    <mergeCell ref="L53:L54"/>
    <mergeCell ref="M53:M54"/>
    <mergeCell ref="N53:N54"/>
    <mergeCell ref="O53:O54"/>
    <mergeCell ref="B53:B54"/>
    <mergeCell ref="C53:C54"/>
    <mergeCell ref="D53:D54"/>
    <mergeCell ref="Q69:Q70"/>
    <mergeCell ref="R69:R70"/>
    <mergeCell ref="S69:S70"/>
    <mergeCell ref="V69:V70"/>
    <mergeCell ref="W69:W70"/>
    <mergeCell ref="X69:X70"/>
    <mergeCell ref="I69:I70"/>
    <mergeCell ref="J69:J70"/>
    <mergeCell ref="L69:L70"/>
    <mergeCell ref="M69:M70"/>
    <mergeCell ref="N69:N70"/>
    <mergeCell ref="O69:O70"/>
    <mergeCell ref="AK69:AK70"/>
    <mergeCell ref="AL69:AL70"/>
    <mergeCell ref="AM69:AM70"/>
    <mergeCell ref="AP69:AP70"/>
    <mergeCell ref="AQ69:AQ70"/>
    <mergeCell ref="AR69:AR70"/>
    <mergeCell ref="AA69:AA70"/>
    <mergeCell ref="AB69:AB70"/>
    <mergeCell ref="AC69:AC70"/>
    <mergeCell ref="AF69:AF70"/>
    <mergeCell ref="AG69:AG70"/>
    <mergeCell ref="AH69:AH7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F67C-10CA-864C-B8FF-2EE19C6D29DB}">
  <dimension ref="A1:T66"/>
  <sheetViews>
    <sheetView workbookViewId="0">
      <selection activeCell="A68" sqref="A68:XFD132"/>
    </sheetView>
  </sheetViews>
  <sheetFormatPr baseColWidth="10" defaultColWidth="8.6640625" defaultRowHeight="15"/>
  <cols>
    <col min="1" max="1" width="13.83203125" style="556" bestFit="1" customWidth="1"/>
    <col min="2" max="2" width="2.83203125" style="543" customWidth="1"/>
    <col min="3" max="3" width="13.83203125" style="556" bestFit="1" customWidth="1"/>
    <col min="4" max="4" width="2.6640625" style="556" customWidth="1"/>
    <col min="5" max="5" width="10.33203125" style="543" customWidth="1"/>
    <col min="6" max="6" width="2.6640625" style="745" customWidth="1"/>
    <col min="7" max="7" width="9.6640625" style="746" customWidth="1"/>
    <col min="8" max="8" width="2.6640625" style="747" customWidth="1"/>
    <col min="9" max="9" width="9.5" style="747" bestFit="1" customWidth="1"/>
    <col min="10" max="10" width="2.6640625" style="746" customWidth="1"/>
    <col min="11" max="11" width="10.1640625" style="747" bestFit="1" customWidth="1"/>
    <col min="12" max="12" width="2.6640625" style="746" customWidth="1"/>
    <col min="13" max="13" width="10.1640625" style="747" bestFit="1" customWidth="1"/>
    <col min="14" max="14" width="9.6640625" style="619" customWidth="1"/>
    <col min="15" max="16384" width="8.6640625" style="556"/>
  </cols>
  <sheetData>
    <row r="1" spans="1:20">
      <c r="A1" s="1154" t="s">
        <v>873</v>
      </c>
      <c r="B1" s="1154"/>
      <c r="C1" s="1154"/>
      <c r="D1" s="1154"/>
      <c r="E1" s="1154"/>
      <c r="F1" s="1154"/>
      <c r="G1" s="1154"/>
      <c r="H1" s="1154"/>
      <c r="I1" s="1154"/>
      <c r="J1" s="1154"/>
      <c r="K1" s="1154"/>
      <c r="L1" s="1154"/>
      <c r="M1" s="1154"/>
    </row>
    <row r="2" spans="1:20">
      <c r="A2" s="741"/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556"/>
    </row>
    <row r="3" spans="1:20" ht="16" thickBot="1">
      <c r="A3" s="741"/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556"/>
    </row>
    <row r="4" spans="1:20" ht="16" thickBot="1">
      <c r="A4" s="742" t="s">
        <v>1043</v>
      </c>
      <c r="B4" s="743"/>
      <c r="C4" s="743"/>
      <c r="D4" s="743"/>
      <c r="E4" s="743"/>
      <c r="F4" s="743"/>
      <c r="G4" s="744"/>
      <c r="H4" s="551"/>
      <c r="I4" s="745"/>
      <c r="M4" s="746"/>
      <c r="N4" s="551"/>
    </row>
    <row r="5" spans="1:20">
      <c r="A5" s="748" t="s">
        <v>731</v>
      </c>
      <c r="B5" s="749"/>
      <c r="C5" s="749"/>
      <c r="D5" s="749"/>
      <c r="E5" s="749"/>
      <c r="F5" s="749"/>
      <c r="G5" s="750"/>
      <c r="H5" s="551"/>
      <c r="I5" s="745"/>
      <c r="M5" s="746"/>
      <c r="N5" s="551"/>
    </row>
    <row r="6" spans="1:20">
      <c r="A6" s="751"/>
      <c r="B6" s="752" t="s">
        <v>872</v>
      </c>
      <c r="C6" s="737"/>
      <c r="D6" s="737"/>
      <c r="E6" s="737"/>
      <c r="F6" s="737"/>
      <c r="G6" s="738">
        <v>0.1</v>
      </c>
      <c r="H6" s="551"/>
      <c r="I6" s="745"/>
      <c r="M6" s="746"/>
      <c r="N6" s="551"/>
    </row>
    <row r="7" spans="1:20">
      <c r="A7" s="751"/>
      <c r="B7" s="752" t="s">
        <v>735</v>
      </c>
      <c r="C7" s="737"/>
      <c r="D7" s="737"/>
      <c r="E7" s="737"/>
      <c r="F7" s="737"/>
      <c r="G7" s="738">
        <f>'Model Assumptions'!R9</f>
        <v>0</v>
      </c>
      <c r="H7" s="551"/>
      <c r="I7" s="745"/>
      <c r="M7" s="746"/>
      <c r="N7" s="551"/>
      <c r="O7" s="1048"/>
      <c r="P7"/>
      <c r="Q7" s="1049"/>
      <c r="R7" s="1049"/>
      <c r="S7" s="1052"/>
      <c r="T7" s="1052"/>
    </row>
    <row r="8" spans="1:20">
      <c r="A8" s="751"/>
      <c r="B8" s="752"/>
      <c r="C8" s="737"/>
      <c r="D8" s="737"/>
      <c r="E8" s="737"/>
      <c r="F8" s="737"/>
      <c r="G8" s="738"/>
      <c r="H8" s="551"/>
      <c r="I8" s="745"/>
      <c r="M8" s="746"/>
      <c r="N8" s="551"/>
      <c r="O8" s="1048"/>
      <c r="P8"/>
      <c r="Q8" s="1049"/>
      <c r="R8" s="1049"/>
      <c r="S8" s="1052"/>
      <c r="T8" s="1052"/>
    </row>
    <row r="9" spans="1:20">
      <c r="A9" s="751" t="s">
        <v>732</v>
      </c>
      <c r="B9" s="753"/>
      <c r="C9" s="753"/>
      <c r="D9" s="753"/>
      <c r="E9" s="753"/>
      <c r="F9" s="753"/>
      <c r="G9" s="754"/>
      <c r="H9" s="551"/>
      <c r="I9" s="745"/>
      <c r="M9" s="746"/>
      <c r="N9" s="551"/>
      <c r="O9" s="1048"/>
      <c r="P9"/>
      <c r="Q9" s="1049"/>
      <c r="R9" s="1049"/>
      <c r="S9" s="1052"/>
      <c r="T9" s="1052"/>
    </row>
    <row r="10" spans="1:20">
      <c r="A10" s="751"/>
      <c r="B10" s="752" t="s">
        <v>861</v>
      </c>
      <c r="C10" s="737"/>
      <c r="D10" s="737"/>
      <c r="E10" s="737"/>
      <c r="F10" s="737"/>
      <c r="G10" s="738">
        <v>0.6</v>
      </c>
      <c r="H10" s="551"/>
      <c r="I10" s="745"/>
      <c r="M10" s="746"/>
      <c r="N10" s="551"/>
      <c r="O10" s="1048"/>
      <c r="P10"/>
      <c r="Q10" s="1049"/>
      <c r="R10" s="1049"/>
      <c r="S10" s="1052"/>
      <c r="T10" s="1052"/>
    </row>
    <row r="11" spans="1:20">
      <c r="A11" s="751"/>
      <c r="B11" s="752" t="s">
        <v>862</v>
      </c>
      <c r="C11" s="737"/>
      <c r="D11" s="737"/>
      <c r="E11" s="737"/>
      <c r="F11" s="737"/>
      <c r="G11" s="738">
        <v>0.5</v>
      </c>
      <c r="H11" s="551"/>
      <c r="I11" s="745"/>
      <c r="M11" s="746"/>
      <c r="N11" s="551"/>
    </row>
    <row r="12" spans="1:20">
      <c r="A12" s="751"/>
      <c r="B12" s="752" t="s">
        <v>863</v>
      </c>
      <c r="C12" s="737"/>
      <c r="D12" s="737"/>
      <c r="E12" s="737"/>
      <c r="F12" s="737"/>
      <c r="G12" s="738">
        <v>0.05</v>
      </c>
      <c r="H12" s="551"/>
      <c r="I12" s="745"/>
      <c r="M12" s="746"/>
      <c r="N12" s="551"/>
    </row>
    <row r="13" spans="1:20">
      <c r="A13" s="751"/>
      <c r="B13" s="752" t="s">
        <v>736</v>
      </c>
      <c r="C13" s="737"/>
      <c r="D13" s="737"/>
      <c r="E13" s="737"/>
      <c r="F13" s="737"/>
      <c r="G13" s="738">
        <v>0.01</v>
      </c>
      <c r="H13" s="551"/>
      <c r="I13" s="745"/>
      <c r="M13" s="746"/>
      <c r="N13" s="551"/>
    </row>
    <row r="14" spans="1:20" ht="16" thickBot="1">
      <c r="A14" s="755"/>
      <c r="B14" s="756" t="s">
        <v>729</v>
      </c>
      <c r="C14" s="739"/>
      <c r="D14" s="739"/>
      <c r="E14" s="739"/>
      <c r="F14" s="739"/>
      <c r="G14" s="740">
        <v>0.5</v>
      </c>
      <c r="H14" s="551"/>
      <c r="I14" s="745"/>
      <c r="M14" s="746"/>
      <c r="N14" s="551"/>
    </row>
    <row r="15" spans="1:20" ht="16" thickBot="1">
      <c r="D15" s="543"/>
      <c r="E15" s="551"/>
      <c r="I15" s="746"/>
    </row>
    <row r="16" spans="1:20" ht="16" thickBot="1">
      <c r="A16" s="1155" t="s">
        <v>991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7"/>
      <c r="N16" s="758"/>
    </row>
    <row r="17" spans="1:14">
      <c r="A17" s="759"/>
      <c r="B17" s="760"/>
      <c r="C17" s="761"/>
      <c r="D17" s="760"/>
      <c r="E17" s="761"/>
      <c r="F17" s="762"/>
      <c r="G17" s="763"/>
      <c r="H17" s="764"/>
      <c r="I17" s="763"/>
      <c r="J17" s="764"/>
      <c r="K17" s="764"/>
      <c r="L17" s="763"/>
      <c r="M17" s="765"/>
      <c r="N17" s="758"/>
    </row>
    <row r="18" spans="1:14">
      <c r="A18" s="759" t="s">
        <v>874</v>
      </c>
      <c r="B18" s="760"/>
      <c r="C18" s="766" t="s">
        <v>1044</v>
      </c>
      <c r="D18" s="760"/>
      <c r="E18" s="767"/>
      <c r="F18" s="762"/>
      <c r="G18" s="763"/>
      <c r="H18" s="764"/>
      <c r="I18" s="763"/>
      <c r="J18" s="768"/>
      <c r="K18" s="764"/>
      <c r="L18" s="763"/>
      <c r="M18" s="765"/>
    </row>
    <row r="19" spans="1:14">
      <c r="A19" s="759" t="s">
        <v>876</v>
      </c>
      <c r="B19" s="760"/>
      <c r="C19" s="766">
        <v>46539</v>
      </c>
      <c r="D19" s="760"/>
      <c r="E19" s="767"/>
      <c r="F19" s="762"/>
      <c r="G19" s="763"/>
      <c r="H19" s="764"/>
      <c r="I19" s="763"/>
      <c r="J19" s="768"/>
      <c r="K19" s="764"/>
      <c r="L19" s="763"/>
      <c r="M19" s="765"/>
    </row>
    <row r="20" spans="1:14" ht="16" thickBot="1">
      <c r="A20" s="759"/>
      <c r="B20" s="760"/>
      <c r="C20" s="761"/>
      <c r="D20" s="760"/>
      <c r="E20" s="761"/>
      <c r="F20" s="762"/>
      <c r="G20" s="763"/>
      <c r="H20" s="764"/>
      <c r="I20" s="763"/>
      <c r="J20" s="764"/>
      <c r="K20" s="764"/>
      <c r="L20" s="763"/>
      <c r="M20" s="765"/>
    </row>
    <row r="21" spans="1:14" ht="16" thickBot="1">
      <c r="A21" s="1155" t="s">
        <v>877</v>
      </c>
      <c r="B21" s="1156"/>
      <c r="C21" s="1156"/>
      <c r="D21" s="1156"/>
      <c r="E21" s="1156"/>
      <c r="F21" s="1156"/>
      <c r="G21" s="1156"/>
      <c r="H21" s="1156"/>
      <c r="I21" s="1156"/>
      <c r="J21" s="1156"/>
      <c r="K21" s="1156"/>
      <c r="L21" s="1156"/>
      <c r="M21" s="1157"/>
    </row>
    <row r="22" spans="1:14">
      <c r="A22" s="769" t="s">
        <v>878</v>
      </c>
      <c r="B22" s="770"/>
      <c r="C22" s="770" t="s">
        <v>879</v>
      </c>
      <c r="D22" s="770"/>
      <c r="E22" s="770" t="s">
        <v>880</v>
      </c>
      <c r="F22" s="771"/>
      <c r="G22" s="772" t="s">
        <v>881</v>
      </c>
      <c r="H22" s="773"/>
      <c r="I22" s="772" t="s">
        <v>515</v>
      </c>
      <c r="J22" s="773"/>
      <c r="K22" s="773" t="s">
        <v>516</v>
      </c>
      <c r="L22" s="772"/>
      <c r="M22" s="774" t="s">
        <v>517</v>
      </c>
    </row>
    <row r="23" spans="1:14" ht="16">
      <c r="A23" s="759" t="s">
        <v>169</v>
      </c>
      <c r="B23" s="775"/>
      <c r="C23" s="776" t="s">
        <v>882</v>
      </c>
      <c r="D23" s="777"/>
      <c r="E23" s="778">
        <v>149.99</v>
      </c>
      <c r="F23" s="779"/>
      <c r="G23" s="780">
        <v>1000</v>
      </c>
      <c r="H23" s="781"/>
      <c r="I23" s="780">
        <v>12</v>
      </c>
      <c r="J23" s="780"/>
      <c r="K23" s="780">
        <v>12</v>
      </c>
      <c r="L23" s="780"/>
      <c r="M23" s="782">
        <v>5</v>
      </c>
    </row>
    <row r="24" spans="1:14">
      <c r="A24" s="759" t="s">
        <v>883</v>
      </c>
      <c r="B24" s="775"/>
      <c r="C24" s="777" t="s">
        <v>884</v>
      </c>
      <c r="D24" s="777"/>
      <c r="E24" s="778">
        <v>0</v>
      </c>
      <c r="F24" s="779"/>
      <c r="G24" s="780">
        <v>0</v>
      </c>
      <c r="H24" s="780"/>
      <c r="I24" s="780">
        <v>0</v>
      </c>
      <c r="J24" s="780"/>
      <c r="K24" s="780">
        <v>0</v>
      </c>
      <c r="L24" s="780"/>
      <c r="M24" s="783">
        <v>0</v>
      </c>
    </row>
    <row r="25" spans="1:14">
      <c r="A25" s="759" t="s">
        <v>885</v>
      </c>
      <c r="B25" s="775"/>
      <c r="C25" s="777" t="s">
        <v>882</v>
      </c>
      <c r="D25" s="777"/>
      <c r="E25" s="778">
        <v>24.99</v>
      </c>
      <c r="F25" s="779"/>
      <c r="G25" s="780">
        <v>750</v>
      </c>
      <c r="H25" s="780"/>
      <c r="I25" s="780">
        <v>40</v>
      </c>
      <c r="J25" s="780"/>
      <c r="K25" s="780">
        <v>8</v>
      </c>
      <c r="L25" s="780"/>
      <c r="M25" s="783">
        <v>4</v>
      </c>
    </row>
    <row r="26" spans="1:14">
      <c r="A26" s="759" t="s">
        <v>886</v>
      </c>
      <c r="B26" s="775"/>
      <c r="C26" s="777" t="s">
        <v>884</v>
      </c>
      <c r="D26" s="777"/>
      <c r="E26" s="778">
        <v>0</v>
      </c>
      <c r="F26" s="779"/>
      <c r="G26" s="780">
        <v>0</v>
      </c>
      <c r="H26" s="780"/>
      <c r="I26" s="780">
        <v>0</v>
      </c>
      <c r="J26" s="780"/>
      <c r="K26" s="780">
        <v>0</v>
      </c>
      <c r="L26" s="780"/>
      <c r="M26" s="783">
        <v>0</v>
      </c>
    </row>
    <row r="27" spans="1:14" ht="16" thickBot="1">
      <c r="A27" s="784" t="s">
        <v>992</v>
      </c>
      <c r="B27" s="785"/>
      <c r="C27" s="786" t="s">
        <v>884</v>
      </c>
      <c r="D27" s="786"/>
      <c r="E27" s="787">
        <v>0</v>
      </c>
      <c r="F27" s="788"/>
      <c r="G27" s="789">
        <v>0</v>
      </c>
      <c r="H27" s="789"/>
      <c r="I27" s="789">
        <v>0</v>
      </c>
      <c r="J27" s="789"/>
      <c r="K27" s="789">
        <v>0</v>
      </c>
      <c r="L27" s="789"/>
      <c r="M27" s="790">
        <v>0</v>
      </c>
    </row>
    <row r="28" spans="1:14" ht="16" thickBot="1">
      <c r="B28" s="757"/>
      <c r="D28" s="791"/>
      <c r="G28" s="792"/>
      <c r="I28" s="793"/>
      <c r="L28" s="792"/>
    </row>
    <row r="29" spans="1:14" ht="16" thickBot="1">
      <c r="A29" s="1158" t="s">
        <v>993</v>
      </c>
      <c r="B29" s="1159"/>
      <c r="C29" s="1159"/>
      <c r="D29" s="1159"/>
      <c r="E29" s="1159"/>
      <c r="F29" s="1159"/>
      <c r="G29" s="1159"/>
      <c r="H29" s="1159"/>
      <c r="I29" s="1159"/>
      <c r="J29" s="1159"/>
      <c r="K29" s="1159"/>
      <c r="L29" s="1159"/>
      <c r="M29" s="1160"/>
    </row>
    <row r="30" spans="1:14">
      <c r="A30" s="795"/>
      <c r="B30" s="796"/>
      <c r="C30" s="797"/>
      <c r="D30" s="796"/>
      <c r="E30" s="797"/>
      <c r="F30" s="798"/>
      <c r="G30" s="799"/>
      <c r="H30" s="800"/>
      <c r="I30" s="799"/>
      <c r="J30" s="800"/>
      <c r="K30" s="800"/>
      <c r="L30" s="799"/>
      <c r="M30" s="801"/>
    </row>
    <row r="31" spans="1:14">
      <c r="A31" s="795" t="s">
        <v>874</v>
      </c>
      <c r="B31" s="796"/>
      <c r="C31" s="797" t="s">
        <v>1045</v>
      </c>
      <c r="D31" s="796"/>
      <c r="E31" s="797"/>
      <c r="F31" s="798"/>
      <c r="G31" s="799"/>
      <c r="H31" s="800"/>
      <c r="I31" s="799"/>
      <c r="J31" s="800"/>
      <c r="K31" s="800"/>
      <c r="L31" s="799"/>
      <c r="M31" s="801"/>
    </row>
    <row r="32" spans="1:14">
      <c r="A32" s="795" t="s">
        <v>876</v>
      </c>
      <c r="B32" s="796"/>
      <c r="C32" s="802">
        <v>46905</v>
      </c>
      <c r="D32" s="796"/>
      <c r="E32" s="803"/>
      <c r="F32" s="798"/>
      <c r="G32" s="799"/>
      <c r="H32" s="800"/>
      <c r="I32" s="799"/>
      <c r="J32" s="804"/>
      <c r="K32" s="800"/>
      <c r="L32" s="799"/>
      <c r="M32" s="801"/>
    </row>
    <row r="33" spans="1:14" ht="16" thickBot="1">
      <c r="A33" s="795"/>
      <c r="B33" s="796"/>
      <c r="C33" s="797"/>
      <c r="D33" s="796"/>
      <c r="E33" s="797"/>
      <c r="F33" s="798"/>
      <c r="G33" s="799"/>
      <c r="H33" s="800"/>
      <c r="I33" s="799"/>
      <c r="J33" s="800"/>
      <c r="K33" s="800"/>
      <c r="L33" s="799"/>
      <c r="M33" s="801"/>
    </row>
    <row r="34" spans="1:14" ht="16" thickBot="1">
      <c r="A34" s="1158" t="s">
        <v>877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60"/>
    </row>
    <row r="35" spans="1:14">
      <c r="A35" s="805" t="s">
        <v>878</v>
      </c>
      <c r="B35" s="806"/>
      <c r="C35" s="806" t="s">
        <v>879</v>
      </c>
      <c r="D35" s="806"/>
      <c r="E35" s="806" t="s">
        <v>880</v>
      </c>
      <c r="F35" s="807"/>
      <c r="G35" s="808" t="s">
        <v>881</v>
      </c>
      <c r="H35" s="809"/>
      <c r="I35" s="808" t="s">
        <v>515</v>
      </c>
      <c r="J35" s="809"/>
      <c r="K35" s="809" t="s">
        <v>516</v>
      </c>
      <c r="L35" s="808"/>
      <c r="M35" s="810" t="s">
        <v>517</v>
      </c>
    </row>
    <row r="36" spans="1:14" ht="16">
      <c r="A36" s="795" t="s">
        <v>169</v>
      </c>
      <c r="B36" s="811"/>
      <c r="C36" s="812" t="s">
        <v>882</v>
      </c>
      <c r="D36" s="813"/>
      <c r="E36" s="814">
        <v>149.99</v>
      </c>
      <c r="F36" s="815"/>
      <c r="G36" s="816">
        <v>800</v>
      </c>
      <c r="H36" s="817"/>
      <c r="I36" s="816">
        <v>12</v>
      </c>
      <c r="J36" s="816"/>
      <c r="K36" s="816">
        <v>12</v>
      </c>
      <c r="L36" s="816"/>
      <c r="M36" s="818">
        <v>5</v>
      </c>
    </row>
    <row r="37" spans="1:14">
      <c r="A37" s="795" t="s">
        <v>883</v>
      </c>
      <c r="B37" s="811"/>
      <c r="C37" s="813" t="s">
        <v>884</v>
      </c>
      <c r="D37" s="813"/>
      <c r="E37" s="814">
        <v>0</v>
      </c>
      <c r="F37" s="815"/>
      <c r="G37" s="816">
        <v>0</v>
      </c>
      <c r="H37" s="816"/>
      <c r="I37" s="816">
        <v>0</v>
      </c>
      <c r="J37" s="816"/>
      <c r="K37" s="816">
        <v>0</v>
      </c>
      <c r="L37" s="816"/>
      <c r="M37" s="819">
        <v>0</v>
      </c>
    </row>
    <row r="38" spans="1:14" s="820" customFormat="1">
      <c r="A38" s="795" t="s">
        <v>885</v>
      </c>
      <c r="B38" s="811"/>
      <c r="C38" s="813" t="s">
        <v>882</v>
      </c>
      <c r="D38" s="813"/>
      <c r="E38" s="814">
        <v>24.99</v>
      </c>
      <c r="F38" s="815"/>
      <c r="G38" s="816">
        <v>500</v>
      </c>
      <c r="H38" s="816"/>
      <c r="I38" s="816">
        <v>40</v>
      </c>
      <c r="J38" s="816"/>
      <c r="K38" s="816">
        <v>8</v>
      </c>
      <c r="L38" s="816"/>
      <c r="M38" s="819">
        <v>4</v>
      </c>
      <c r="N38" s="821"/>
    </row>
    <row r="39" spans="1:14">
      <c r="A39" s="795" t="s">
        <v>886</v>
      </c>
      <c r="B39" s="811"/>
      <c r="C39" s="813" t="s">
        <v>884</v>
      </c>
      <c r="D39" s="813"/>
      <c r="E39" s="814">
        <v>0</v>
      </c>
      <c r="F39" s="815"/>
      <c r="G39" s="816">
        <v>0</v>
      </c>
      <c r="H39" s="816"/>
      <c r="I39" s="816">
        <v>0</v>
      </c>
      <c r="J39" s="816"/>
      <c r="K39" s="816">
        <v>0</v>
      </c>
      <c r="L39" s="816"/>
      <c r="M39" s="819">
        <v>0</v>
      </c>
    </row>
    <row r="40" spans="1:14" ht="16" thickBot="1">
      <c r="A40" s="822" t="s">
        <v>992</v>
      </c>
      <c r="B40" s="823"/>
      <c r="C40" s="824" t="s">
        <v>884</v>
      </c>
      <c r="D40" s="824"/>
      <c r="E40" s="825">
        <v>0</v>
      </c>
      <c r="F40" s="826"/>
      <c r="G40" s="827">
        <v>0</v>
      </c>
      <c r="H40" s="827"/>
      <c r="I40" s="827">
        <v>0</v>
      </c>
      <c r="J40" s="827"/>
      <c r="K40" s="827">
        <v>0</v>
      </c>
      <c r="L40" s="827"/>
      <c r="M40" s="828">
        <v>0</v>
      </c>
    </row>
    <row r="41" spans="1:14" ht="16" thickBot="1">
      <c r="B41" s="757"/>
      <c r="C41" s="551"/>
      <c r="D41" s="551"/>
      <c r="E41" s="551"/>
      <c r="G41" s="792"/>
      <c r="H41" s="746"/>
      <c r="I41" s="746"/>
      <c r="L41" s="792"/>
      <c r="M41" s="746"/>
    </row>
    <row r="42" spans="1:14" ht="16" thickBot="1">
      <c r="A42" s="1161" t="s">
        <v>994</v>
      </c>
      <c r="B42" s="1162"/>
      <c r="C42" s="1162"/>
      <c r="D42" s="1162"/>
      <c r="E42" s="1162"/>
      <c r="F42" s="1162"/>
      <c r="G42" s="1162"/>
      <c r="H42" s="1162"/>
      <c r="I42" s="1162"/>
      <c r="J42" s="1162"/>
      <c r="K42" s="1162"/>
      <c r="L42" s="1162"/>
      <c r="M42" s="1163"/>
    </row>
    <row r="43" spans="1:14">
      <c r="A43" s="829"/>
      <c r="B43" s="830"/>
      <c r="C43" s="831"/>
      <c r="D43" s="830"/>
      <c r="E43" s="831"/>
      <c r="F43" s="832"/>
      <c r="G43" s="833"/>
      <c r="H43" s="834"/>
      <c r="I43" s="833"/>
      <c r="J43" s="834"/>
      <c r="K43" s="834"/>
      <c r="L43" s="833"/>
      <c r="M43" s="835"/>
    </row>
    <row r="44" spans="1:14">
      <c r="A44" s="829" t="s">
        <v>874</v>
      </c>
      <c r="B44" s="830"/>
      <c r="C44" s="831" t="s">
        <v>1046</v>
      </c>
      <c r="D44" s="830"/>
      <c r="E44" s="831"/>
      <c r="F44" s="832"/>
      <c r="G44" s="833"/>
      <c r="H44" s="834"/>
      <c r="I44" s="833"/>
      <c r="J44" s="834"/>
      <c r="K44" s="834"/>
      <c r="L44" s="833"/>
      <c r="M44" s="835"/>
    </row>
    <row r="45" spans="1:14">
      <c r="A45" s="829" t="s">
        <v>876</v>
      </c>
      <c r="B45" s="830"/>
      <c r="C45" s="836">
        <v>47270</v>
      </c>
      <c r="D45" s="830"/>
      <c r="E45" s="837"/>
      <c r="F45" s="832"/>
      <c r="G45" s="833"/>
      <c r="H45" s="834"/>
      <c r="I45" s="833"/>
      <c r="J45" s="838"/>
      <c r="K45" s="834"/>
      <c r="L45" s="833"/>
      <c r="M45" s="835"/>
    </row>
    <row r="46" spans="1:14" ht="16" thickBot="1">
      <c r="A46" s="829"/>
      <c r="B46" s="830"/>
      <c r="C46" s="831"/>
      <c r="D46" s="830"/>
      <c r="E46" s="831"/>
      <c r="F46" s="832"/>
      <c r="G46" s="833"/>
      <c r="H46" s="834"/>
      <c r="I46" s="833"/>
      <c r="J46" s="834"/>
      <c r="K46" s="834"/>
      <c r="L46" s="833"/>
      <c r="M46" s="835"/>
    </row>
    <row r="47" spans="1:14" ht="16" thickBot="1">
      <c r="A47" s="1161" t="s">
        <v>877</v>
      </c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3"/>
    </row>
    <row r="48" spans="1:14">
      <c r="A48" s="839" t="s">
        <v>878</v>
      </c>
      <c r="B48" s="840"/>
      <c r="C48" s="840" t="s">
        <v>879</v>
      </c>
      <c r="D48" s="840"/>
      <c r="E48" s="840" t="s">
        <v>880</v>
      </c>
      <c r="F48" s="841"/>
      <c r="G48" s="842" t="s">
        <v>881</v>
      </c>
      <c r="H48" s="843"/>
      <c r="I48" s="842" t="s">
        <v>515</v>
      </c>
      <c r="J48" s="843"/>
      <c r="K48" s="843" t="s">
        <v>516</v>
      </c>
      <c r="L48" s="842"/>
      <c r="M48" s="844" t="s">
        <v>517</v>
      </c>
    </row>
    <row r="49" spans="1:13" ht="16">
      <c r="A49" s="829" t="s">
        <v>169</v>
      </c>
      <c r="B49" s="845"/>
      <c r="C49" s="846" t="s">
        <v>882</v>
      </c>
      <c r="D49" s="847"/>
      <c r="E49" s="848">
        <v>149.99</v>
      </c>
      <c r="F49" s="849"/>
      <c r="G49" s="850">
        <v>800</v>
      </c>
      <c r="H49" s="851"/>
      <c r="I49" s="850">
        <v>12</v>
      </c>
      <c r="J49" s="850"/>
      <c r="K49" s="850">
        <v>12</v>
      </c>
      <c r="L49" s="850"/>
      <c r="M49" s="852">
        <v>5</v>
      </c>
    </row>
    <row r="50" spans="1:13">
      <c r="A50" s="829" t="s">
        <v>883</v>
      </c>
      <c r="B50" s="845"/>
      <c r="C50" s="847" t="s">
        <v>884</v>
      </c>
      <c r="D50" s="847"/>
      <c r="E50" s="848">
        <v>0</v>
      </c>
      <c r="F50" s="849"/>
      <c r="G50" s="850">
        <v>0</v>
      </c>
      <c r="H50" s="850"/>
      <c r="I50" s="850">
        <v>0</v>
      </c>
      <c r="J50" s="850"/>
      <c r="K50" s="850">
        <v>0</v>
      </c>
      <c r="L50" s="850"/>
      <c r="M50" s="853">
        <v>0</v>
      </c>
    </row>
    <row r="51" spans="1:13">
      <c r="A51" s="829" t="s">
        <v>885</v>
      </c>
      <c r="B51" s="845"/>
      <c r="C51" s="847" t="s">
        <v>882</v>
      </c>
      <c r="D51" s="847"/>
      <c r="E51" s="848">
        <v>24.99</v>
      </c>
      <c r="F51" s="849"/>
      <c r="G51" s="850">
        <v>500</v>
      </c>
      <c r="H51" s="850"/>
      <c r="I51" s="850">
        <v>40</v>
      </c>
      <c r="J51" s="850"/>
      <c r="K51" s="850">
        <v>8</v>
      </c>
      <c r="L51" s="850"/>
      <c r="M51" s="853">
        <v>4</v>
      </c>
    </row>
    <row r="52" spans="1:13" s="619" customFormat="1">
      <c r="A52" s="829" t="s">
        <v>886</v>
      </c>
      <c r="B52" s="845"/>
      <c r="C52" s="847" t="s">
        <v>884</v>
      </c>
      <c r="D52" s="847"/>
      <c r="E52" s="848">
        <v>0</v>
      </c>
      <c r="F52" s="849"/>
      <c r="G52" s="850">
        <v>0</v>
      </c>
      <c r="H52" s="850"/>
      <c r="I52" s="850">
        <v>0</v>
      </c>
      <c r="J52" s="850"/>
      <c r="K52" s="850">
        <v>0</v>
      </c>
      <c r="L52" s="850"/>
      <c r="M52" s="853">
        <v>0</v>
      </c>
    </row>
    <row r="53" spans="1:13" s="619" customFormat="1" ht="16" thickBot="1">
      <c r="A53" s="854" t="s">
        <v>992</v>
      </c>
      <c r="B53" s="855"/>
      <c r="C53" s="856" t="s">
        <v>884</v>
      </c>
      <c r="D53" s="856"/>
      <c r="E53" s="857">
        <v>0</v>
      </c>
      <c r="F53" s="858"/>
      <c r="G53" s="859">
        <v>0</v>
      </c>
      <c r="H53" s="859"/>
      <c r="I53" s="859">
        <v>0</v>
      </c>
      <c r="J53" s="859"/>
      <c r="K53" s="859">
        <v>0</v>
      </c>
      <c r="L53" s="859"/>
      <c r="M53" s="860">
        <v>0</v>
      </c>
    </row>
    <row r="54" spans="1:13" s="619" customFormat="1" ht="16" thickBot="1">
      <c r="A54" s="556"/>
      <c r="B54" s="791"/>
      <c r="C54" s="556"/>
      <c r="D54" s="791"/>
      <c r="E54" s="558"/>
      <c r="F54" s="745"/>
      <c r="G54" s="793"/>
      <c r="H54" s="747"/>
      <c r="I54" s="793"/>
      <c r="J54" s="747"/>
      <c r="K54" s="747"/>
      <c r="L54" s="793"/>
      <c r="M54" s="747"/>
    </row>
    <row r="55" spans="1:13" s="619" customFormat="1" ht="16" thickBot="1">
      <c r="A55" s="1148" t="s">
        <v>995</v>
      </c>
      <c r="B55" s="1149"/>
      <c r="C55" s="1149"/>
      <c r="D55" s="1149"/>
      <c r="E55" s="1149"/>
      <c r="F55" s="1149"/>
      <c r="G55" s="1149"/>
      <c r="H55" s="1149"/>
      <c r="I55" s="1149"/>
      <c r="J55" s="1149"/>
      <c r="K55" s="1149"/>
      <c r="L55" s="1149"/>
      <c r="M55" s="1150"/>
    </row>
    <row r="56" spans="1:13" s="619" customFormat="1">
      <c r="A56" s="861"/>
      <c r="B56" s="862"/>
      <c r="C56" s="863"/>
      <c r="D56" s="862"/>
      <c r="E56" s="863"/>
      <c r="F56" s="864"/>
      <c r="G56" s="865"/>
      <c r="H56" s="866"/>
      <c r="I56" s="865"/>
      <c r="J56" s="866"/>
      <c r="K56" s="866"/>
      <c r="L56" s="865"/>
      <c r="M56" s="867"/>
    </row>
    <row r="57" spans="1:13" s="619" customFormat="1">
      <c r="A57" s="861" t="s">
        <v>874</v>
      </c>
      <c r="B57" s="862"/>
      <c r="C57" s="863" t="s">
        <v>1074</v>
      </c>
      <c r="D57" s="862"/>
      <c r="E57" s="863"/>
      <c r="F57" s="864"/>
      <c r="G57" s="865"/>
      <c r="H57" s="866"/>
      <c r="I57" s="865"/>
      <c r="J57" s="866"/>
      <c r="K57" s="866"/>
      <c r="L57" s="865"/>
      <c r="M57" s="867"/>
    </row>
    <row r="58" spans="1:13" s="619" customFormat="1">
      <c r="A58" s="861" t="s">
        <v>876</v>
      </c>
      <c r="B58" s="862"/>
      <c r="C58" s="868">
        <v>47635</v>
      </c>
      <c r="D58" s="862"/>
      <c r="E58" s="869"/>
      <c r="F58" s="864"/>
      <c r="G58" s="865"/>
      <c r="H58" s="866"/>
      <c r="I58" s="865"/>
      <c r="J58" s="870"/>
      <c r="K58" s="866"/>
      <c r="L58" s="865"/>
      <c r="M58" s="867"/>
    </row>
    <row r="59" spans="1:13" s="619" customFormat="1" ht="16" thickBot="1">
      <c r="A59" s="861"/>
      <c r="B59" s="862"/>
      <c r="C59" s="863"/>
      <c r="D59" s="862"/>
      <c r="E59" s="863"/>
      <c r="F59" s="864"/>
      <c r="G59" s="865"/>
      <c r="H59" s="866"/>
      <c r="I59" s="865"/>
      <c r="J59" s="866"/>
      <c r="K59" s="866"/>
      <c r="L59" s="865"/>
      <c r="M59" s="867"/>
    </row>
    <row r="60" spans="1:13" s="619" customFormat="1" ht="16" thickBot="1">
      <c r="A60" s="1148" t="s">
        <v>877</v>
      </c>
      <c r="B60" s="1149"/>
      <c r="C60" s="1149"/>
      <c r="D60" s="1149"/>
      <c r="E60" s="1149"/>
      <c r="F60" s="1149"/>
      <c r="G60" s="1149"/>
      <c r="H60" s="1149"/>
      <c r="I60" s="1149"/>
      <c r="J60" s="1149"/>
      <c r="K60" s="1149"/>
      <c r="L60" s="1149"/>
      <c r="M60" s="1150"/>
    </row>
    <row r="61" spans="1:13" s="619" customFormat="1">
      <c r="A61" s="871" t="s">
        <v>878</v>
      </c>
      <c r="B61" s="872"/>
      <c r="C61" s="872" t="s">
        <v>879</v>
      </c>
      <c r="D61" s="872"/>
      <c r="E61" s="872" t="s">
        <v>880</v>
      </c>
      <c r="F61" s="873"/>
      <c r="G61" s="874" t="s">
        <v>881</v>
      </c>
      <c r="H61" s="875"/>
      <c r="I61" s="874" t="s">
        <v>515</v>
      </c>
      <c r="J61" s="875"/>
      <c r="K61" s="875" t="s">
        <v>516</v>
      </c>
      <c r="L61" s="874"/>
      <c r="M61" s="876" t="s">
        <v>517</v>
      </c>
    </row>
    <row r="62" spans="1:13" s="619" customFormat="1">
      <c r="A62" s="861" t="s">
        <v>169</v>
      </c>
      <c r="B62" s="877"/>
      <c r="C62" s="878" t="s">
        <v>882</v>
      </c>
      <c r="D62" s="878"/>
      <c r="E62" s="879">
        <v>149.99</v>
      </c>
      <c r="F62" s="880"/>
      <c r="G62" s="881">
        <v>800</v>
      </c>
      <c r="H62" s="882"/>
      <c r="I62" s="881">
        <v>12</v>
      </c>
      <c r="J62" s="881"/>
      <c r="K62" s="881">
        <v>12</v>
      </c>
      <c r="L62" s="881"/>
      <c r="M62" s="883">
        <v>5</v>
      </c>
    </row>
    <row r="63" spans="1:13" s="619" customFormat="1">
      <c r="A63" s="861" t="s">
        <v>883</v>
      </c>
      <c r="B63" s="877"/>
      <c r="C63" s="878" t="s">
        <v>884</v>
      </c>
      <c r="D63" s="878"/>
      <c r="E63" s="879">
        <v>0</v>
      </c>
      <c r="F63" s="880"/>
      <c r="G63" s="881">
        <v>0</v>
      </c>
      <c r="H63" s="881"/>
      <c r="I63" s="881">
        <v>0</v>
      </c>
      <c r="J63" s="881"/>
      <c r="K63" s="881">
        <v>0</v>
      </c>
      <c r="L63" s="881"/>
      <c r="M63" s="884">
        <v>0</v>
      </c>
    </row>
    <row r="64" spans="1:13" s="619" customFormat="1">
      <c r="A64" s="861" t="s">
        <v>885</v>
      </c>
      <c r="B64" s="877"/>
      <c r="C64" s="878" t="s">
        <v>882</v>
      </c>
      <c r="D64" s="878"/>
      <c r="E64" s="879">
        <v>24.99</v>
      </c>
      <c r="F64" s="880"/>
      <c r="G64" s="881">
        <v>500</v>
      </c>
      <c r="H64" s="881"/>
      <c r="I64" s="881">
        <v>40</v>
      </c>
      <c r="J64" s="881"/>
      <c r="K64" s="881">
        <v>8</v>
      </c>
      <c r="L64" s="881"/>
      <c r="M64" s="884">
        <v>4</v>
      </c>
    </row>
    <row r="65" spans="1:13" s="619" customFormat="1">
      <c r="A65" s="861" t="s">
        <v>886</v>
      </c>
      <c r="B65" s="877"/>
      <c r="C65" s="878" t="s">
        <v>884</v>
      </c>
      <c r="D65" s="878"/>
      <c r="E65" s="879">
        <v>0</v>
      </c>
      <c r="F65" s="880"/>
      <c r="G65" s="881">
        <v>0</v>
      </c>
      <c r="H65" s="881"/>
      <c r="I65" s="881">
        <v>0</v>
      </c>
      <c r="J65" s="881"/>
      <c r="K65" s="881">
        <v>0</v>
      </c>
      <c r="L65" s="881"/>
      <c r="M65" s="884">
        <v>0</v>
      </c>
    </row>
    <row r="66" spans="1:13" ht="16" thickBot="1">
      <c r="A66" s="886" t="s">
        <v>992</v>
      </c>
      <c r="B66" s="887"/>
      <c r="C66" s="888" t="s">
        <v>884</v>
      </c>
      <c r="D66" s="888"/>
      <c r="E66" s="889">
        <v>0</v>
      </c>
      <c r="F66" s="890"/>
      <c r="G66" s="891">
        <v>0</v>
      </c>
      <c r="H66" s="891"/>
      <c r="I66" s="891">
        <v>0</v>
      </c>
      <c r="J66" s="891"/>
      <c r="K66" s="891">
        <v>0</v>
      </c>
      <c r="L66" s="891"/>
      <c r="M66" s="892">
        <v>0</v>
      </c>
    </row>
  </sheetData>
  <mergeCells count="9">
    <mergeCell ref="A47:M47"/>
    <mergeCell ref="A55:M55"/>
    <mergeCell ref="A60:M60"/>
    <mergeCell ref="A1:M1"/>
    <mergeCell ref="A16:M16"/>
    <mergeCell ref="A21:M21"/>
    <mergeCell ref="A29:M29"/>
    <mergeCell ref="A34:M34"/>
    <mergeCell ref="A42:M42"/>
  </mergeCells>
  <pageMargins left="0.7" right="0.7" top="0.75" bottom="0.75" header="0.3" footer="0.3"/>
  <pageSetup orientation="portrait" horizontalDpi="0" verticalDpi="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D043-4F0A-C94B-B6E4-7E7565EBAD80}">
  <dimension ref="A2:BP106"/>
  <sheetViews>
    <sheetView topLeftCell="A68" zoomScaleNormal="100" workbookViewId="0">
      <selection activeCell="Q73" sqref="Q73"/>
    </sheetView>
  </sheetViews>
  <sheetFormatPr baseColWidth="10" defaultColWidth="9.1640625" defaultRowHeight="15"/>
  <cols>
    <col min="1" max="1" width="33.83203125" style="669" bestFit="1" customWidth="1"/>
    <col min="2" max="2" width="18.83203125" style="669" bestFit="1" customWidth="1"/>
    <col min="3" max="3" width="15" style="669" bestFit="1" customWidth="1"/>
    <col min="4" max="4" width="14.5" style="669" bestFit="1" customWidth="1"/>
    <col min="5" max="5" width="8.33203125" style="669" bestFit="1" customWidth="1"/>
    <col min="6" max="6" width="24.6640625" style="669" bestFit="1" customWidth="1"/>
    <col min="7" max="7" width="18.83203125" style="669" bestFit="1" customWidth="1"/>
    <col min="8" max="8" width="15" style="669" bestFit="1" customWidth="1"/>
    <col min="9" max="9" width="16.6640625" style="669" bestFit="1" customWidth="1"/>
    <col min="10" max="10" width="12.6640625" style="669" bestFit="1" customWidth="1"/>
    <col min="11" max="11" width="22.5" style="669" bestFit="1" customWidth="1"/>
    <col min="12" max="12" width="17.1640625" style="669" bestFit="1" customWidth="1"/>
    <col min="13" max="13" width="16.83203125" style="669" bestFit="1" customWidth="1"/>
    <col min="14" max="14" width="18.6640625" style="669" bestFit="1" customWidth="1"/>
    <col min="15" max="15" width="11.1640625" style="669" bestFit="1" customWidth="1"/>
    <col min="16" max="16" width="22.33203125" style="669" bestFit="1" customWidth="1"/>
    <col min="17" max="17" width="15.33203125" style="669" bestFit="1" customWidth="1"/>
    <col min="18" max="18" width="18.83203125" style="669" bestFit="1" customWidth="1"/>
    <col min="19" max="19" width="14.33203125" style="669" bestFit="1" customWidth="1"/>
    <col min="20" max="20" width="10.33203125" style="669" bestFit="1" customWidth="1"/>
    <col min="21" max="21" width="24.6640625" style="669" bestFit="1" customWidth="1"/>
    <col min="22" max="22" width="18.83203125" style="669" bestFit="1" customWidth="1"/>
    <col min="23" max="23" width="15.33203125" style="669" bestFit="1" customWidth="1"/>
    <col min="24" max="24" width="14.33203125" style="669" bestFit="1" customWidth="1"/>
    <col min="25" max="25" width="11.1640625" style="669" bestFit="1" customWidth="1"/>
    <col min="26" max="26" width="24.6640625" style="669" bestFit="1" customWidth="1"/>
    <col min="27" max="27" width="17.83203125" style="669" bestFit="1" customWidth="1"/>
    <col min="28" max="28" width="15.33203125" style="669" bestFit="1" customWidth="1"/>
    <col min="29" max="29" width="14.33203125" style="669" bestFit="1" customWidth="1"/>
    <col min="30" max="30" width="10.33203125" style="669" bestFit="1" customWidth="1"/>
    <col min="31" max="31" width="24.6640625" style="669" bestFit="1" customWidth="1"/>
    <col min="32" max="32" width="17.5" style="669" bestFit="1" customWidth="1"/>
    <col min="33" max="33" width="15.33203125" style="669" bestFit="1" customWidth="1"/>
    <col min="34" max="34" width="14.33203125" style="669" bestFit="1" customWidth="1"/>
    <col min="35" max="35" width="10.1640625" style="669" bestFit="1" customWidth="1"/>
    <col min="36" max="36" width="21.5" style="669" bestFit="1" customWidth="1"/>
    <col min="37" max="37" width="15.33203125" style="669" bestFit="1" customWidth="1"/>
    <col min="38" max="39" width="14.6640625" style="669" bestFit="1" customWidth="1"/>
    <col min="40" max="40" width="8.5" style="669" bestFit="1" customWidth="1"/>
    <col min="41" max="41" width="21.5" style="669" bestFit="1" customWidth="1"/>
    <col min="42" max="42" width="15.1640625" style="669" bestFit="1" customWidth="1"/>
    <col min="43" max="44" width="13.6640625" style="669" bestFit="1" customWidth="1"/>
    <col min="45" max="45" width="10.1640625" style="669" bestFit="1" customWidth="1"/>
    <col min="46" max="47" width="9.1640625" style="669"/>
    <col min="48" max="48" width="10.1640625" style="669" bestFit="1" customWidth="1"/>
    <col min="49" max="50" width="9.1640625" style="669"/>
    <col min="51" max="51" width="11.1640625" style="669" bestFit="1" customWidth="1"/>
    <col min="52" max="53" width="9.1640625" style="669"/>
    <col min="54" max="54" width="11.83203125" style="669" bestFit="1" customWidth="1"/>
    <col min="55" max="60" width="9.1640625" style="669"/>
    <col min="61" max="61" width="10.1640625" style="669" bestFit="1" customWidth="1"/>
    <col min="62" max="63" width="9.1640625" style="669"/>
    <col min="64" max="64" width="11.1640625" style="669" bestFit="1" customWidth="1"/>
    <col min="65" max="66" width="9.1640625" style="669"/>
    <col min="67" max="67" width="11.1640625" style="669" bestFit="1" customWidth="1"/>
    <col min="68" max="68" width="13.6640625" style="669" bestFit="1" customWidth="1"/>
    <col min="69" max="16384" width="9.1640625" style="669"/>
  </cols>
  <sheetData>
    <row r="2" spans="1:44" ht="16" thickBot="1">
      <c r="A2" s="667" t="s">
        <v>745</v>
      </c>
      <c r="B2" s="668"/>
      <c r="C2" s="668"/>
      <c r="D2" s="975"/>
      <c r="E2" s="668"/>
      <c r="F2" s="667" t="s">
        <v>745</v>
      </c>
      <c r="G2" s="668"/>
      <c r="H2" s="668"/>
      <c r="I2" s="668"/>
      <c r="J2" s="668"/>
      <c r="K2" s="667" t="s">
        <v>745</v>
      </c>
      <c r="L2" s="668"/>
      <c r="M2" s="668"/>
      <c r="N2" s="668"/>
      <c r="O2" s="668"/>
      <c r="P2" s="667" t="s">
        <v>745</v>
      </c>
      <c r="Q2" s="668"/>
      <c r="R2" s="668"/>
      <c r="S2" s="668"/>
      <c r="U2" s="667"/>
      <c r="V2" s="668"/>
      <c r="W2" s="668"/>
      <c r="X2" s="668"/>
      <c r="Z2" s="667"/>
      <c r="AA2" s="668"/>
      <c r="AB2" s="668"/>
      <c r="AC2" s="668"/>
      <c r="AE2" s="667"/>
      <c r="AF2" s="668"/>
      <c r="AG2" s="668"/>
      <c r="AH2" s="668"/>
      <c r="AJ2" s="667"/>
      <c r="AK2" s="668"/>
      <c r="AL2" s="668"/>
      <c r="AM2" s="668"/>
      <c r="AO2" s="667"/>
      <c r="AP2" s="668"/>
      <c r="AQ2" s="668"/>
      <c r="AR2" s="668"/>
    </row>
    <row r="3" spans="1:44" ht="34.5" customHeight="1" thickBot="1">
      <c r="A3" s="670" t="str">
        <f>'Blumhouse Inputs'!C18</f>
        <v>2027 Blumhouse - ROOT</v>
      </c>
      <c r="B3" s="671">
        <f>'Blumhouse Inputs'!C19</f>
        <v>46539</v>
      </c>
      <c r="C3" s="672"/>
      <c r="D3" s="668"/>
      <c r="E3" s="668"/>
      <c r="F3" s="673" t="str">
        <f>'Blumhouse Inputs'!C31</f>
        <v>2028 Blumhouse - Root</v>
      </c>
      <c r="G3" s="671">
        <f>'Blumhouse Inputs'!C32</f>
        <v>46905</v>
      </c>
      <c r="H3" s="672"/>
      <c r="I3" s="668"/>
      <c r="J3" s="668"/>
      <c r="K3" s="673" t="str">
        <f>'Blumhouse Inputs'!C44</f>
        <v>2029 Blumhouse - ROOT</v>
      </c>
      <c r="L3" s="671">
        <f>'Blumhouse Inputs'!C45</f>
        <v>47270</v>
      </c>
      <c r="M3" s="672"/>
      <c r="N3" s="668"/>
      <c r="O3" s="668"/>
      <c r="P3" s="673" t="str">
        <f>'Blumhouse Inputs'!C57</f>
        <v>2030 Blumhouse - ROOT</v>
      </c>
      <c r="Q3" s="671">
        <f>'Blumhouse Inputs'!C58</f>
        <v>47635</v>
      </c>
      <c r="R3" s="672"/>
      <c r="S3" s="668"/>
      <c r="U3" s="1055"/>
      <c r="V3" s="1056"/>
      <c r="W3" s="672"/>
      <c r="X3" s="668"/>
      <c r="Z3" s="1055"/>
      <c r="AA3" s="1056"/>
      <c r="AB3" s="672"/>
      <c r="AC3" s="668"/>
      <c r="AE3" s="1055"/>
      <c r="AF3" s="1056"/>
      <c r="AG3" s="672"/>
      <c r="AH3" s="668"/>
      <c r="AJ3" s="1055"/>
      <c r="AK3" s="1056"/>
      <c r="AL3" s="672"/>
      <c r="AM3" s="668"/>
      <c r="AO3" s="1055"/>
      <c r="AP3" s="1056"/>
      <c r="AQ3" s="672"/>
      <c r="AR3" s="668"/>
    </row>
    <row r="4" spans="1:44" ht="16" thickBot="1">
      <c r="A4" s="668"/>
      <c r="B4" s="668"/>
      <c r="C4" s="674" t="s">
        <v>754</v>
      </c>
      <c r="D4" s="675" t="s">
        <v>755</v>
      </c>
      <c r="E4" s="668"/>
      <c r="F4" s="668"/>
      <c r="G4" s="668"/>
      <c r="H4" s="674" t="s">
        <v>754</v>
      </c>
      <c r="I4" s="675" t="s">
        <v>755</v>
      </c>
      <c r="J4" s="668"/>
      <c r="K4" s="668"/>
      <c r="L4" s="668"/>
      <c r="M4" s="674" t="s">
        <v>754</v>
      </c>
      <c r="N4" s="675" t="s">
        <v>755</v>
      </c>
      <c r="O4" s="668"/>
      <c r="P4" s="668"/>
      <c r="Q4" s="668"/>
      <c r="R4" s="674" t="s">
        <v>754</v>
      </c>
      <c r="S4" s="675" t="s">
        <v>755</v>
      </c>
      <c r="T4" s="543"/>
      <c r="U4" s="668"/>
      <c r="V4" s="668"/>
      <c r="W4" s="698"/>
      <c r="X4" s="698"/>
      <c r="Z4" s="668"/>
      <c r="AA4" s="668"/>
      <c r="AB4" s="698"/>
      <c r="AC4" s="698"/>
      <c r="AE4" s="668"/>
      <c r="AF4" s="668"/>
      <c r="AG4" s="698"/>
      <c r="AH4" s="698"/>
      <c r="AJ4" s="668"/>
      <c r="AK4" s="668"/>
      <c r="AL4" s="698"/>
      <c r="AM4" s="698"/>
      <c r="AO4" s="668"/>
      <c r="AP4" s="668"/>
      <c r="AQ4" s="698"/>
      <c r="AR4" s="698"/>
    </row>
    <row r="5" spans="1:44" s="677" customFormat="1" ht="32" customHeight="1">
      <c r="A5" s="676" t="s">
        <v>756</v>
      </c>
      <c r="B5" s="1172" t="s">
        <v>18</v>
      </c>
      <c r="C5" s="1176">
        <f>'Blumhouse Inputs'!E23</f>
        <v>149.99</v>
      </c>
      <c r="D5" s="1178">
        <f>C5*B8</f>
        <v>1799.88</v>
      </c>
      <c r="E5" s="1179"/>
      <c r="F5" s="676" t="s">
        <v>756</v>
      </c>
      <c r="G5" s="1172" t="s">
        <v>18</v>
      </c>
      <c r="H5" s="1176">
        <f>'Blumhouse Inputs'!E36</f>
        <v>149.99</v>
      </c>
      <c r="I5" s="1178">
        <f>H5*G8</f>
        <v>1799.88</v>
      </c>
      <c r="J5" s="1179"/>
      <c r="K5" s="676" t="s">
        <v>756</v>
      </c>
      <c r="L5" s="1172" t="s">
        <v>18</v>
      </c>
      <c r="M5" s="1176">
        <f>'Blumhouse Inputs'!E49</f>
        <v>149.99</v>
      </c>
      <c r="N5" s="1178">
        <f>M5*L8</f>
        <v>1799.88</v>
      </c>
      <c r="O5" s="1180"/>
      <c r="P5" s="676" t="s">
        <v>756</v>
      </c>
      <c r="Q5" s="1172" t="s">
        <v>18</v>
      </c>
      <c r="R5" s="1176">
        <f>'Blumhouse Inputs'!E62</f>
        <v>149.99</v>
      </c>
      <c r="S5" s="1178">
        <f>R5*Q8</f>
        <v>1799.88</v>
      </c>
      <c r="T5" s="545"/>
      <c r="U5" s="1057"/>
      <c r="V5" s="1181"/>
      <c r="W5" s="1182"/>
      <c r="X5" s="1183"/>
      <c r="Z5" s="1057"/>
      <c r="AA5" s="1181"/>
      <c r="AB5" s="1182"/>
      <c r="AC5" s="1183"/>
      <c r="AE5" s="1057"/>
      <c r="AF5" s="1181"/>
      <c r="AG5" s="1182"/>
      <c r="AH5" s="1183"/>
      <c r="AJ5" s="1057"/>
      <c r="AK5" s="1181"/>
      <c r="AL5" s="1182"/>
      <c r="AM5" s="1183"/>
      <c r="AO5" s="1057"/>
      <c r="AP5" s="1181"/>
      <c r="AQ5" s="1182"/>
      <c r="AR5" s="1183"/>
    </row>
    <row r="6" spans="1:44" s="677" customFormat="1" ht="16" thickBot="1">
      <c r="A6" s="678" t="s">
        <v>757</v>
      </c>
      <c r="B6" s="1173"/>
      <c r="C6" s="1177"/>
      <c r="D6" s="1175"/>
      <c r="E6" s="1179"/>
      <c r="F6" s="678" t="s">
        <v>757</v>
      </c>
      <c r="G6" s="1173"/>
      <c r="H6" s="1177"/>
      <c r="I6" s="1175"/>
      <c r="J6" s="1179"/>
      <c r="K6" s="678" t="s">
        <v>757</v>
      </c>
      <c r="L6" s="1173"/>
      <c r="M6" s="1177"/>
      <c r="N6" s="1175"/>
      <c r="O6" s="1180"/>
      <c r="P6" s="678" t="s">
        <v>757</v>
      </c>
      <c r="Q6" s="1173"/>
      <c r="R6" s="1177"/>
      <c r="S6" s="1175"/>
      <c r="T6" s="545"/>
      <c r="U6" s="1058"/>
      <c r="V6" s="1181"/>
      <c r="W6" s="1183"/>
      <c r="X6" s="1183"/>
      <c r="Z6" s="1058"/>
      <c r="AA6" s="1181"/>
      <c r="AB6" s="1183"/>
      <c r="AC6" s="1183"/>
      <c r="AE6" s="1058"/>
      <c r="AF6" s="1181"/>
      <c r="AG6" s="1183"/>
      <c r="AH6" s="1183"/>
      <c r="AJ6" s="1058"/>
      <c r="AK6" s="1181"/>
      <c r="AL6" s="1183"/>
      <c r="AM6" s="1183"/>
      <c r="AO6" s="1058"/>
      <c r="AP6" s="1181"/>
      <c r="AQ6" s="1183"/>
      <c r="AR6" s="1183"/>
    </row>
    <row r="7" spans="1:44" ht="16" thickBot="1">
      <c r="A7" s="679" t="s">
        <v>758</v>
      </c>
      <c r="B7" s="680">
        <f>'Blumhouse Inputs'!G23</f>
        <v>1000</v>
      </c>
      <c r="C7" s="681"/>
      <c r="D7" s="681"/>
      <c r="E7" s="668"/>
      <c r="F7" s="679" t="s">
        <v>758</v>
      </c>
      <c r="G7" s="680">
        <f>'Blumhouse Inputs'!G36</f>
        <v>800</v>
      </c>
      <c r="H7" s="681"/>
      <c r="I7" s="681"/>
      <c r="J7" s="668"/>
      <c r="K7" s="679" t="s">
        <v>758</v>
      </c>
      <c r="L7" s="680">
        <f>'Blumhouse Inputs'!G49</f>
        <v>800</v>
      </c>
      <c r="M7" s="681"/>
      <c r="N7" s="681"/>
      <c r="O7" s="668"/>
      <c r="P7" s="679" t="s">
        <v>758</v>
      </c>
      <c r="Q7" s="680">
        <f>'Blumhouse Inputs'!G62</f>
        <v>800</v>
      </c>
      <c r="R7" s="681"/>
      <c r="S7" s="681"/>
      <c r="T7" s="551"/>
      <c r="U7" s="667"/>
      <c r="V7" s="696"/>
      <c r="W7" s="698"/>
      <c r="X7" s="698"/>
      <c r="Z7" s="667"/>
      <c r="AA7" s="696"/>
      <c r="AB7" s="698"/>
      <c r="AC7" s="698"/>
      <c r="AE7" s="667"/>
      <c r="AF7" s="696"/>
      <c r="AG7" s="698"/>
      <c r="AH7" s="698"/>
      <c r="AJ7" s="667"/>
      <c r="AK7" s="696"/>
      <c r="AL7" s="698"/>
      <c r="AM7" s="698"/>
      <c r="AO7" s="667"/>
      <c r="AP7" s="696"/>
      <c r="AQ7" s="698"/>
      <c r="AR7" s="698"/>
    </row>
    <row r="8" spans="1:44" ht="17" thickBot="1">
      <c r="A8" s="682" t="s">
        <v>188</v>
      </c>
      <c r="B8" s="681">
        <f>'Blumhouse Inputs'!I23</f>
        <v>12</v>
      </c>
      <c r="C8" s="681"/>
      <c r="D8" s="683"/>
      <c r="E8" s="668"/>
      <c r="F8" s="682" t="s">
        <v>188</v>
      </c>
      <c r="G8" s="681">
        <f>'Blumhouse Inputs'!I36</f>
        <v>12</v>
      </c>
      <c r="H8" s="681"/>
      <c r="I8" s="683"/>
      <c r="J8" s="668"/>
      <c r="K8" s="682" t="s">
        <v>188</v>
      </c>
      <c r="L8" s="681">
        <f>'Blumhouse Inputs'!I49</f>
        <v>12</v>
      </c>
      <c r="M8" s="681"/>
      <c r="N8" s="683"/>
      <c r="O8" s="668"/>
      <c r="P8" s="682" t="s">
        <v>188</v>
      </c>
      <c r="Q8" s="681">
        <f>'Blumhouse Inputs'!I62</f>
        <v>12</v>
      </c>
      <c r="R8" s="681"/>
      <c r="S8" s="683"/>
      <c r="T8" s="551"/>
      <c r="U8" s="1059"/>
      <c r="V8" s="698"/>
      <c r="W8" s="698"/>
      <c r="X8" s="698"/>
      <c r="Z8" s="1059"/>
      <c r="AA8" s="698"/>
      <c r="AB8" s="698"/>
      <c r="AC8" s="698"/>
      <c r="AE8" s="1059"/>
      <c r="AF8" s="698"/>
      <c r="AG8" s="698"/>
      <c r="AH8" s="698"/>
      <c r="AJ8" s="1059"/>
      <c r="AK8" s="698"/>
      <c r="AL8" s="698"/>
      <c r="AM8" s="698"/>
      <c r="AO8" s="1059"/>
      <c r="AP8" s="698"/>
      <c r="AQ8" s="698"/>
      <c r="AR8" s="698"/>
    </row>
    <row r="9" spans="1:44" ht="16" thickBot="1">
      <c r="A9" s="679" t="s">
        <v>759</v>
      </c>
      <c r="B9" s="680">
        <f>B7*B8</f>
        <v>12000</v>
      </c>
      <c r="C9" s="684"/>
      <c r="D9" s="685"/>
      <c r="E9" s="668"/>
      <c r="F9" s="679" t="s">
        <v>759</v>
      </c>
      <c r="G9" s="680">
        <f>G7*G8</f>
        <v>9600</v>
      </c>
      <c r="H9" s="684"/>
      <c r="I9" s="685"/>
      <c r="J9" s="668"/>
      <c r="K9" s="679" t="s">
        <v>759</v>
      </c>
      <c r="L9" s="680">
        <f>L7*L8</f>
        <v>9600</v>
      </c>
      <c r="M9" s="684"/>
      <c r="N9" s="685"/>
      <c r="O9" s="668"/>
      <c r="P9" s="679" t="s">
        <v>759</v>
      </c>
      <c r="Q9" s="680">
        <f>Q7*Q8</f>
        <v>9600</v>
      </c>
      <c r="R9" s="684"/>
      <c r="S9" s="685">
        <v>3599760</v>
      </c>
      <c r="T9" s="556"/>
      <c r="U9" s="667"/>
      <c r="V9" s="696"/>
      <c r="W9" s="698"/>
      <c r="X9" s="697"/>
      <c r="Z9" s="667"/>
      <c r="AA9" s="696"/>
      <c r="AB9" s="698"/>
      <c r="AC9" s="697"/>
      <c r="AE9" s="667"/>
      <c r="AF9" s="696"/>
      <c r="AG9" s="698"/>
      <c r="AH9" s="697"/>
      <c r="AJ9" s="667"/>
      <c r="AK9" s="696"/>
      <c r="AL9" s="698"/>
      <c r="AM9" s="697"/>
      <c r="AO9" s="667"/>
      <c r="AP9" s="696"/>
      <c r="AQ9" s="698"/>
      <c r="AR9" s="697"/>
    </row>
    <row r="10" spans="1:44" ht="16" thickBot="1">
      <c r="A10" s="679" t="s">
        <v>192</v>
      </c>
      <c r="B10" s="681">
        <f>'Blumhouse Inputs'!K23</f>
        <v>12</v>
      </c>
      <c r="C10" s="684"/>
      <c r="D10" s="686"/>
      <c r="E10" s="668"/>
      <c r="F10" s="679" t="s">
        <v>192</v>
      </c>
      <c r="G10" s="681">
        <f>'Blumhouse Inputs'!K36</f>
        <v>12</v>
      </c>
      <c r="H10" s="684"/>
      <c r="I10" s="686"/>
      <c r="J10" s="668"/>
      <c r="K10" s="679" t="s">
        <v>192</v>
      </c>
      <c r="L10" s="681">
        <f>'Blumhouse Inputs'!K49</f>
        <v>12</v>
      </c>
      <c r="M10" s="684"/>
      <c r="N10" s="686"/>
      <c r="O10" s="668"/>
      <c r="P10" s="679" t="s">
        <v>192</v>
      </c>
      <c r="Q10" s="681">
        <f>'Blumhouse Inputs'!K62</f>
        <v>12</v>
      </c>
      <c r="R10" s="684"/>
      <c r="S10" s="686" t="s">
        <v>760</v>
      </c>
      <c r="T10" s="558"/>
      <c r="U10" s="667"/>
      <c r="V10" s="698"/>
      <c r="W10" s="698"/>
      <c r="X10" s="698"/>
      <c r="Z10" s="667"/>
      <c r="AA10" s="698"/>
      <c r="AB10" s="698"/>
      <c r="AC10" s="698"/>
      <c r="AE10" s="667"/>
      <c r="AF10" s="698"/>
      <c r="AG10" s="698"/>
      <c r="AH10" s="698"/>
      <c r="AJ10" s="667"/>
      <c r="AK10" s="698"/>
      <c r="AL10" s="698"/>
      <c r="AM10" s="698"/>
      <c r="AO10" s="667"/>
      <c r="AP10" s="698"/>
      <c r="AQ10" s="698"/>
      <c r="AR10" s="698"/>
    </row>
    <row r="11" spans="1:44" ht="16" thickBot="1">
      <c r="A11" s="687" t="s">
        <v>195</v>
      </c>
      <c r="B11" s="681">
        <f>'Blumhouse Inputs'!M23</f>
        <v>5</v>
      </c>
      <c r="C11" s="681"/>
      <c r="D11" s="681"/>
      <c r="E11" s="668"/>
      <c r="F11" s="687" t="s">
        <v>195</v>
      </c>
      <c r="G11" s="681">
        <f>'Blumhouse Inputs'!M36</f>
        <v>5</v>
      </c>
      <c r="H11" s="681"/>
      <c r="I11" s="681"/>
      <c r="J11" s="668"/>
      <c r="K11" s="687" t="s">
        <v>195</v>
      </c>
      <c r="L11" s="681">
        <f>'Blumhouse Inputs'!M49</f>
        <v>5</v>
      </c>
      <c r="M11" s="681"/>
      <c r="N11" s="681"/>
      <c r="O11" s="668"/>
      <c r="P11" s="687" t="s">
        <v>195</v>
      </c>
      <c r="Q11" s="681">
        <f>'Blumhouse Inputs'!M62</f>
        <v>5</v>
      </c>
      <c r="R11" s="681"/>
      <c r="S11" s="681"/>
      <c r="T11" s="558"/>
      <c r="U11" s="1060"/>
      <c r="V11" s="698"/>
      <c r="W11" s="698"/>
      <c r="X11" s="698"/>
      <c r="Z11" s="1060"/>
      <c r="AA11" s="698"/>
      <c r="AB11" s="698"/>
      <c r="AC11" s="698"/>
      <c r="AE11" s="1060"/>
      <c r="AF11" s="698"/>
      <c r="AG11" s="698"/>
      <c r="AH11" s="698"/>
      <c r="AJ11" s="1060"/>
      <c r="AK11" s="698"/>
      <c r="AL11" s="698"/>
      <c r="AM11" s="698"/>
      <c r="AO11" s="1060"/>
      <c r="AP11" s="698"/>
      <c r="AQ11" s="698"/>
      <c r="AR11" s="698"/>
    </row>
    <row r="12" spans="1:44" ht="16" thickBot="1">
      <c r="A12" s="679" t="s">
        <v>761</v>
      </c>
      <c r="B12" s="680">
        <f>B9*B10</f>
        <v>144000</v>
      </c>
      <c r="C12" s="681"/>
      <c r="D12" s="681"/>
      <c r="E12" s="668"/>
      <c r="F12" s="679" t="s">
        <v>761</v>
      </c>
      <c r="G12" s="680">
        <f>G9*G10</f>
        <v>115200</v>
      </c>
      <c r="H12" s="681"/>
      <c r="I12" s="681"/>
      <c r="J12" s="668"/>
      <c r="K12" s="679" t="s">
        <v>761</v>
      </c>
      <c r="L12" s="680">
        <f>L9*L10</f>
        <v>115200</v>
      </c>
      <c r="M12" s="681"/>
      <c r="N12" s="681"/>
      <c r="O12" s="668"/>
      <c r="P12" s="679" t="s">
        <v>761</v>
      </c>
      <c r="Q12" s="680">
        <f>Q9*Q10</f>
        <v>115200</v>
      </c>
      <c r="R12" s="681"/>
      <c r="S12" s="681"/>
      <c r="T12" s="551"/>
      <c r="U12" s="667"/>
      <c r="V12" s="696"/>
      <c r="W12" s="698"/>
      <c r="X12" s="698"/>
      <c r="Z12" s="667"/>
      <c r="AA12" s="696"/>
      <c r="AB12" s="698"/>
      <c r="AC12" s="698"/>
      <c r="AE12" s="667"/>
      <c r="AF12" s="696"/>
      <c r="AG12" s="698"/>
      <c r="AH12" s="698"/>
      <c r="AJ12" s="667"/>
      <c r="AK12" s="696"/>
      <c r="AL12" s="698"/>
      <c r="AM12" s="698"/>
      <c r="AO12" s="667"/>
      <c r="AP12" s="696"/>
      <c r="AQ12" s="698"/>
      <c r="AR12" s="698"/>
    </row>
    <row r="13" spans="1:44" ht="16" thickBot="1">
      <c r="A13" s="679" t="s">
        <v>762</v>
      </c>
      <c r="B13" s="680">
        <f>B12*B11</f>
        <v>720000</v>
      </c>
      <c r="C13" s="681"/>
      <c r="D13" s="681"/>
      <c r="E13" s="668"/>
      <c r="F13" s="679" t="s">
        <v>762</v>
      </c>
      <c r="G13" s="680">
        <f>G12*G11</f>
        <v>576000</v>
      </c>
      <c r="H13" s="681"/>
      <c r="I13" s="681"/>
      <c r="J13" s="668"/>
      <c r="K13" s="679" t="s">
        <v>762</v>
      </c>
      <c r="L13" s="680">
        <f>L12*L11</f>
        <v>576000</v>
      </c>
      <c r="M13" s="681"/>
      <c r="N13" s="681"/>
      <c r="O13" s="668"/>
      <c r="P13" s="679" t="s">
        <v>762</v>
      </c>
      <c r="Q13" s="680">
        <f>Q12*Q11</f>
        <v>576000</v>
      </c>
      <c r="R13" s="681"/>
      <c r="S13" s="681"/>
      <c r="T13" s="560"/>
      <c r="U13" s="667"/>
      <c r="V13" s="696"/>
      <c r="W13" s="698"/>
      <c r="X13" s="698"/>
      <c r="Z13" s="667"/>
      <c r="AA13" s="696"/>
      <c r="AB13" s="698"/>
      <c r="AC13" s="698"/>
      <c r="AE13" s="667"/>
      <c r="AF13" s="696"/>
      <c r="AG13" s="698"/>
      <c r="AH13" s="698"/>
      <c r="AJ13" s="667"/>
      <c r="AK13" s="696"/>
      <c r="AL13" s="698"/>
      <c r="AM13" s="698"/>
      <c r="AO13" s="667"/>
      <c r="AP13" s="696"/>
      <c r="AQ13" s="698"/>
      <c r="AR13" s="698"/>
    </row>
    <row r="14" spans="1:44" ht="16" thickBot="1">
      <c r="A14" s="679" t="s">
        <v>763</v>
      </c>
      <c r="B14" s="688">
        <f>C18/B13</f>
        <v>1.4999027777777778</v>
      </c>
      <c r="C14" s="681"/>
      <c r="D14" s="689"/>
      <c r="E14" s="668"/>
      <c r="F14" s="679" t="s">
        <v>763</v>
      </c>
      <c r="G14" s="688">
        <f>H18/G13</f>
        <v>1.4999027777777778</v>
      </c>
      <c r="H14" s="681"/>
      <c r="I14" s="689"/>
      <c r="J14" s="668"/>
      <c r="K14" s="679" t="s">
        <v>763</v>
      </c>
      <c r="L14" s="688">
        <f>M18/L13</f>
        <v>1.4999027777777778</v>
      </c>
      <c r="M14" s="681"/>
      <c r="N14" s="689"/>
      <c r="O14" s="668"/>
      <c r="P14" s="679" t="s">
        <v>763</v>
      </c>
      <c r="Q14" s="688">
        <f>R18/Q13</f>
        <v>1.4999027777777778</v>
      </c>
      <c r="R14" s="681"/>
      <c r="S14" s="689">
        <v>2.08</v>
      </c>
      <c r="T14" s="551"/>
      <c r="U14" s="667"/>
      <c r="V14" s="1061"/>
      <c r="W14" s="698"/>
      <c r="X14" s="697"/>
      <c r="Z14" s="667"/>
      <c r="AA14" s="1061"/>
      <c r="AB14" s="698"/>
      <c r="AC14" s="697"/>
      <c r="AE14" s="667"/>
      <c r="AF14" s="1061"/>
      <c r="AG14" s="698"/>
      <c r="AH14" s="697"/>
      <c r="AJ14" s="667"/>
      <c r="AK14" s="1061"/>
      <c r="AL14" s="698"/>
      <c r="AM14" s="697"/>
      <c r="AO14" s="667"/>
      <c r="AP14" s="1061"/>
      <c r="AQ14" s="698"/>
      <c r="AR14" s="697"/>
    </row>
    <row r="15" spans="1:44" ht="16" thickBot="1">
      <c r="A15" s="690"/>
      <c r="B15" s="691" t="s">
        <v>250</v>
      </c>
      <c r="C15" s="691" t="s">
        <v>764</v>
      </c>
      <c r="D15" s="691" t="s">
        <v>18</v>
      </c>
      <c r="E15" s="668"/>
      <c r="F15" s="690"/>
      <c r="G15" s="691" t="s">
        <v>250</v>
      </c>
      <c r="H15" s="691" t="s">
        <v>764</v>
      </c>
      <c r="I15" s="691" t="s">
        <v>18</v>
      </c>
      <c r="J15" s="668"/>
      <c r="K15" s="690"/>
      <c r="L15" s="691" t="s">
        <v>250</v>
      </c>
      <c r="M15" s="691" t="s">
        <v>764</v>
      </c>
      <c r="N15" s="691" t="s">
        <v>18</v>
      </c>
      <c r="O15" s="668"/>
      <c r="P15" s="690"/>
      <c r="Q15" s="691" t="s">
        <v>250</v>
      </c>
      <c r="R15" s="691" t="s">
        <v>764</v>
      </c>
      <c r="S15" s="691" t="s">
        <v>18</v>
      </c>
      <c r="T15" s="551"/>
      <c r="U15" s="1060"/>
      <c r="V15" s="1062"/>
      <c r="W15" s="1062"/>
      <c r="X15" s="1062"/>
      <c r="Z15" s="1060"/>
      <c r="AA15" s="1062"/>
      <c r="AB15" s="1062"/>
      <c r="AC15" s="1062"/>
      <c r="AE15" s="1060"/>
      <c r="AF15" s="1062"/>
      <c r="AG15" s="1062"/>
      <c r="AH15" s="1062"/>
      <c r="AJ15" s="1060"/>
      <c r="AK15" s="1062"/>
      <c r="AL15" s="1062"/>
      <c r="AM15" s="1062"/>
      <c r="AO15" s="1060"/>
      <c r="AP15" s="1062"/>
      <c r="AQ15" s="1062"/>
      <c r="AR15" s="1062"/>
    </row>
    <row r="16" spans="1:44" ht="16" thickBot="1">
      <c r="A16" s="692" t="s">
        <v>765</v>
      </c>
      <c r="B16" s="693">
        <f>ROUND(C16*$B$89,2)</f>
        <v>45</v>
      </c>
      <c r="C16" s="694">
        <f>ROUND(D16*'Ted Inputs'!$G$10,2)</f>
        <v>89.99</v>
      </c>
      <c r="D16" s="694">
        <f>C5</f>
        <v>149.99</v>
      </c>
      <c r="E16" s="668"/>
      <c r="F16" s="692" t="s">
        <v>765</v>
      </c>
      <c r="G16" s="693">
        <f>ROUND(H16*$B$89,2)</f>
        <v>45</v>
      </c>
      <c r="H16" s="694">
        <f>ROUND(I16*'Ted Inputs'!$G$10,2)</f>
        <v>89.99</v>
      </c>
      <c r="I16" s="694">
        <f>H5</f>
        <v>149.99</v>
      </c>
      <c r="J16" s="668"/>
      <c r="K16" s="692" t="s">
        <v>765</v>
      </c>
      <c r="L16" s="693">
        <f>ROUND(M16*$B$89,2)</f>
        <v>45</v>
      </c>
      <c r="M16" s="694">
        <f>ROUND(N16*'Ted Inputs'!$G$10,2)</f>
        <v>89.99</v>
      </c>
      <c r="N16" s="694">
        <f>M5</f>
        <v>149.99</v>
      </c>
      <c r="O16" s="668"/>
      <c r="P16" s="692" t="s">
        <v>765</v>
      </c>
      <c r="Q16" s="693">
        <f>ROUND(R16*$B$89,2)</f>
        <v>45</v>
      </c>
      <c r="R16" s="694">
        <f>ROUND(S16*'Ted Inputs'!$G$10,2)</f>
        <v>89.99</v>
      </c>
      <c r="S16" s="694">
        <f>R5</f>
        <v>149.99</v>
      </c>
      <c r="T16" s="551"/>
      <c r="U16" s="1063"/>
      <c r="V16" s="1064"/>
      <c r="W16" s="1065"/>
      <c r="X16" s="1065"/>
      <c r="Z16" s="1063"/>
      <c r="AA16" s="1064"/>
      <c r="AB16" s="1065"/>
      <c r="AC16" s="1065"/>
      <c r="AE16" s="1063"/>
      <c r="AF16" s="1064"/>
      <c r="AG16" s="1065"/>
      <c r="AH16" s="1065"/>
      <c r="AJ16" s="1063"/>
      <c r="AK16" s="1064"/>
      <c r="AL16" s="1065"/>
      <c r="AM16" s="1065"/>
      <c r="AO16" s="1063"/>
      <c r="AP16" s="1064"/>
      <c r="AQ16" s="1065"/>
      <c r="AR16" s="1065"/>
    </row>
    <row r="17" spans="1:44" ht="16" thickBot="1">
      <c r="A17" s="692" t="s">
        <v>766</v>
      </c>
      <c r="B17" s="693">
        <f>ROUND(C17*$B$89,2)</f>
        <v>539.97</v>
      </c>
      <c r="C17" s="695">
        <f>ROUND(D17*'Ted Inputs'!$G$10,2)</f>
        <v>1079.93</v>
      </c>
      <c r="D17" s="695">
        <f>ROUND(D16*B8,2)</f>
        <v>1799.88</v>
      </c>
      <c r="E17" s="668"/>
      <c r="F17" s="692" t="s">
        <v>766</v>
      </c>
      <c r="G17" s="693">
        <f>ROUND(H17*$B$89,2)</f>
        <v>539.97</v>
      </c>
      <c r="H17" s="695">
        <f>ROUND(I17*'Ted Inputs'!$G$10,2)</f>
        <v>1079.93</v>
      </c>
      <c r="I17" s="695">
        <f>ROUND(I16*G8,2)</f>
        <v>1799.88</v>
      </c>
      <c r="J17" s="668"/>
      <c r="K17" s="692" t="s">
        <v>766</v>
      </c>
      <c r="L17" s="693">
        <f>ROUND(M17*$B$89,2)</f>
        <v>539.97</v>
      </c>
      <c r="M17" s="695">
        <f>ROUND(N17*'Ted Inputs'!$G$10,2)</f>
        <v>1079.93</v>
      </c>
      <c r="N17" s="695">
        <f>ROUND(N16*L8,2)</f>
        <v>1799.88</v>
      </c>
      <c r="O17" s="668"/>
      <c r="P17" s="692" t="s">
        <v>766</v>
      </c>
      <c r="Q17" s="693">
        <f>ROUND(R17*$B$89,2)</f>
        <v>539.97</v>
      </c>
      <c r="R17" s="695">
        <f>ROUND(S17*'Ted Inputs'!$G$10,2)</f>
        <v>1079.93</v>
      </c>
      <c r="S17" s="695">
        <f>ROUND(S16*Q8,2)</f>
        <v>1799.88</v>
      </c>
      <c r="T17" s="551"/>
      <c r="U17" s="1063"/>
      <c r="V17" s="1064"/>
      <c r="W17" s="1066"/>
      <c r="X17" s="1066"/>
      <c r="Z17" s="1063"/>
      <c r="AA17" s="1064"/>
      <c r="AB17" s="1066"/>
      <c r="AC17" s="1066"/>
      <c r="AE17" s="1063"/>
      <c r="AF17" s="1064"/>
      <c r="AG17" s="1066"/>
      <c r="AH17" s="1066"/>
      <c r="AJ17" s="1063"/>
      <c r="AK17" s="1064"/>
      <c r="AL17" s="1066"/>
      <c r="AM17" s="1066"/>
      <c r="AO17" s="1063"/>
      <c r="AP17" s="1064"/>
      <c r="AQ17" s="1066"/>
      <c r="AR17" s="1066"/>
    </row>
    <row r="18" spans="1:44" ht="16" thickBot="1">
      <c r="A18" s="692" t="s">
        <v>767</v>
      </c>
      <c r="B18" s="693">
        <f>ROUND(B17*$B$7,2)</f>
        <v>539970</v>
      </c>
      <c r="C18" s="695">
        <f>ROUND(C17*B7,2)</f>
        <v>1079930</v>
      </c>
      <c r="D18" s="695">
        <f>ROUND(D17*B7,2)</f>
        <v>1799880</v>
      </c>
      <c r="E18" s="668"/>
      <c r="F18" s="692" t="s">
        <v>767</v>
      </c>
      <c r="G18" s="693">
        <f>ROUND(G17*$B$7,2)</f>
        <v>539970</v>
      </c>
      <c r="H18" s="695">
        <f>ROUND(H17*G7,2)</f>
        <v>863944</v>
      </c>
      <c r="I18" s="695">
        <f>ROUND(I17*G7,2)</f>
        <v>1439904</v>
      </c>
      <c r="J18" s="668"/>
      <c r="K18" s="692" t="s">
        <v>767</v>
      </c>
      <c r="L18" s="693">
        <f>ROUND(L17*$B$7,2)</f>
        <v>539970</v>
      </c>
      <c r="M18" s="695">
        <f>ROUND(M17*L7,2)</f>
        <v>863944</v>
      </c>
      <c r="N18" s="695">
        <f>ROUND(N17*L7,2)</f>
        <v>1439904</v>
      </c>
      <c r="O18" s="668"/>
      <c r="P18" s="692" t="s">
        <v>767</v>
      </c>
      <c r="Q18" s="693">
        <f>ROUND(Q17*$B$7,2)</f>
        <v>539970</v>
      </c>
      <c r="R18" s="695">
        <f>ROUND(R17*Q7,2)</f>
        <v>863944</v>
      </c>
      <c r="S18" s="695">
        <f>ROUND(S17*Q7,2)</f>
        <v>1439904</v>
      </c>
      <c r="T18" s="551"/>
      <c r="U18" s="1063"/>
      <c r="V18" s="1064"/>
      <c r="W18" s="1066"/>
      <c r="X18" s="1066"/>
      <c r="Z18" s="1063"/>
      <c r="AA18" s="1064"/>
      <c r="AB18" s="1066"/>
      <c r="AC18" s="1066"/>
      <c r="AE18" s="1063"/>
      <c r="AF18" s="1064"/>
      <c r="AG18" s="1066"/>
      <c r="AH18" s="1066"/>
      <c r="AJ18" s="1063"/>
      <c r="AK18" s="1064"/>
      <c r="AL18" s="1066"/>
      <c r="AM18" s="1066"/>
      <c r="AO18" s="1063"/>
      <c r="AP18" s="1064"/>
      <c r="AQ18" s="1066"/>
      <c r="AR18" s="1066"/>
    </row>
    <row r="19" spans="1:44" ht="16" thickBot="1">
      <c r="A19" s="668"/>
      <c r="B19" s="668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551"/>
      <c r="U19" s="668"/>
      <c r="V19" s="668"/>
      <c r="W19" s="668"/>
      <c r="X19" s="668"/>
      <c r="Z19" s="668"/>
      <c r="AA19" s="668"/>
      <c r="AB19" s="668"/>
      <c r="AC19" s="668"/>
      <c r="AE19" s="668"/>
      <c r="AF19" s="668"/>
      <c r="AG19" s="668"/>
      <c r="AH19" s="668"/>
      <c r="AJ19" s="668"/>
      <c r="AK19" s="668"/>
      <c r="AL19" s="668"/>
      <c r="AM19" s="668"/>
      <c r="AO19" s="668"/>
      <c r="AP19" s="668"/>
      <c r="AQ19" s="668"/>
      <c r="AR19" s="668"/>
    </row>
    <row r="20" spans="1:44" ht="16" thickBot="1">
      <c r="A20" s="668"/>
      <c r="B20" s="668"/>
      <c r="C20" s="674" t="s">
        <v>754</v>
      </c>
      <c r="D20" s="675" t="s">
        <v>755</v>
      </c>
      <c r="E20" s="668"/>
      <c r="F20" s="668"/>
      <c r="G20" s="668"/>
      <c r="H20" s="674" t="s">
        <v>754</v>
      </c>
      <c r="I20" s="675" t="s">
        <v>755</v>
      </c>
      <c r="J20" s="668"/>
      <c r="K20" s="668"/>
      <c r="L20" s="668"/>
      <c r="M20" s="674" t="s">
        <v>754</v>
      </c>
      <c r="N20" s="675" t="s">
        <v>755</v>
      </c>
      <c r="O20" s="668"/>
      <c r="P20" s="668"/>
      <c r="Q20" s="668"/>
      <c r="R20" s="674" t="s">
        <v>754</v>
      </c>
      <c r="S20" s="675" t="s">
        <v>755</v>
      </c>
      <c r="T20" s="551"/>
      <c r="U20" s="668"/>
      <c r="V20" s="668"/>
      <c r="W20" s="698"/>
      <c r="X20" s="698"/>
      <c r="Z20" s="668"/>
      <c r="AA20" s="668"/>
      <c r="AB20" s="698"/>
      <c r="AC20" s="698"/>
      <c r="AE20" s="668"/>
      <c r="AF20" s="668"/>
      <c r="AG20" s="698"/>
      <c r="AH20" s="698"/>
      <c r="AJ20" s="668"/>
      <c r="AK20" s="668"/>
      <c r="AL20" s="698"/>
      <c r="AM20" s="698"/>
      <c r="AO20" s="668"/>
      <c r="AP20" s="668"/>
      <c r="AQ20" s="698"/>
      <c r="AR20" s="698"/>
    </row>
    <row r="21" spans="1:44" s="677" customFormat="1" ht="16">
      <c r="A21" s="676" t="s">
        <v>853</v>
      </c>
      <c r="B21" s="1172" t="s">
        <v>18</v>
      </c>
      <c r="C21" s="1176">
        <f>'Blumhouse Inputs'!E24</f>
        <v>0</v>
      </c>
      <c r="D21" s="1178">
        <f>C21*B24</f>
        <v>0</v>
      </c>
      <c r="E21" s="1179"/>
      <c r="F21" s="676" t="s">
        <v>853</v>
      </c>
      <c r="G21" s="1172" t="s">
        <v>18</v>
      </c>
      <c r="H21" s="1176">
        <f>'Blumhouse Inputs'!E37</f>
        <v>0</v>
      </c>
      <c r="I21" s="1178">
        <f>H21*G24</f>
        <v>0</v>
      </c>
      <c r="J21" s="1179"/>
      <c r="K21" s="676" t="s">
        <v>853</v>
      </c>
      <c r="L21" s="1172" t="s">
        <v>18</v>
      </c>
      <c r="M21" s="1176">
        <f>'Blumhouse Inputs'!E50</f>
        <v>0</v>
      </c>
      <c r="N21" s="1178">
        <f>M21*L24</f>
        <v>0</v>
      </c>
      <c r="O21" s="1180"/>
      <c r="P21" s="676" t="s">
        <v>853</v>
      </c>
      <c r="Q21" s="1172" t="s">
        <v>18</v>
      </c>
      <c r="R21" s="1176">
        <f>'Blumhouse Inputs'!E63</f>
        <v>0</v>
      </c>
      <c r="S21" s="1178">
        <f>R21*Q24</f>
        <v>0</v>
      </c>
      <c r="T21" s="569"/>
      <c r="U21" s="1057"/>
      <c r="V21" s="1181"/>
      <c r="W21" s="1182"/>
      <c r="X21" s="1183"/>
      <c r="Z21" s="1057"/>
      <c r="AA21" s="1181"/>
      <c r="AB21" s="1182"/>
      <c r="AC21" s="1183"/>
      <c r="AE21" s="1057"/>
      <c r="AF21" s="1181"/>
      <c r="AG21" s="1182"/>
      <c r="AH21" s="1183"/>
      <c r="AJ21" s="1057"/>
      <c r="AK21" s="1181"/>
      <c r="AL21" s="1182"/>
      <c r="AM21" s="1183"/>
      <c r="AO21" s="1057"/>
      <c r="AP21" s="1181"/>
      <c r="AQ21" s="1182"/>
      <c r="AR21" s="1183"/>
    </row>
    <row r="22" spans="1:44" s="677" customFormat="1" ht="16" thickBot="1">
      <c r="A22" s="678" t="s">
        <v>854</v>
      </c>
      <c r="B22" s="1173"/>
      <c r="C22" s="1177"/>
      <c r="D22" s="1175"/>
      <c r="E22" s="1179"/>
      <c r="F22" s="678" t="s">
        <v>854</v>
      </c>
      <c r="G22" s="1173"/>
      <c r="H22" s="1177"/>
      <c r="I22" s="1175"/>
      <c r="J22" s="1179"/>
      <c r="K22" s="678" t="s">
        <v>854</v>
      </c>
      <c r="L22" s="1173"/>
      <c r="M22" s="1177"/>
      <c r="N22" s="1175"/>
      <c r="O22" s="1180"/>
      <c r="P22" s="678" t="s">
        <v>854</v>
      </c>
      <c r="Q22" s="1173"/>
      <c r="R22" s="1177"/>
      <c r="S22" s="1175"/>
      <c r="T22" s="569"/>
      <c r="U22" s="1058"/>
      <c r="V22" s="1181"/>
      <c r="W22" s="1183"/>
      <c r="X22" s="1183"/>
      <c r="Z22" s="1058"/>
      <c r="AA22" s="1181"/>
      <c r="AB22" s="1183"/>
      <c r="AC22" s="1183"/>
      <c r="AE22" s="1058"/>
      <c r="AF22" s="1181"/>
      <c r="AG22" s="1183"/>
      <c r="AH22" s="1183"/>
      <c r="AJ22" s="1058"/>
      <c r="AK22" s="1181"/>
      <c r="AL22" s="1183"/>
      <c r="AM22" s="1183"/>
      <c r="AO22" s="1058"/>
      <c r="AP22" s="1181"/>
      <c r="AQ22" s="1183"/>
      <c r="AR22" s="1183"/>
    </row>
    <row r="23" spans="1:44" ht="16" thickBot="1">
      <c r="A23" s="679" t="s">
        <v>758</v>
      </c>
      <c r="B23" s="680">
        <f>'Blumhouse Inputs'!G24</f>
        <v>0</v>
      </c>
      <c r="C23" s="681"/>
      <c r="D23" s="681"/>
      <c r="E23" s="668"/>
      <c r="F23" s="679" t="s">
        <v>758</v>
      </c>
      <c r="G23" s="680">
        <f>'Blumhouse Inputs'!G37</f>
        <v>0</v>
      </c>
      <c r="H23" s="681"/>
      <c r="I23" s="681"/>
      <c r="J23" s="668"/>
      <c r="K23" s="679" t="s">
        <v>758</v>
      </c>
      <c r="L23" s="680">
        <f>'Blumhouse Inputs'!G50</f>
        <v>0</v>
      </c>
      <c r="M23" s="681"/>
      <c r="N23" s="681"/>
      <c r="O23" s="668"/>
      <c r="P23" s="679" t="s">
        <v>758</v>
      </c>
      <c r="Q23" s="680">
        <f>'Blumhouse Inputs'!G63</f>
        <v>0</v>
      </c>
      <c r="R23" s="681"/>
      <c r="S23" s="681"/>
      <c r="T23" s="551"/>
      <c r="U23" s="667"/>
      <c r="V23" s="696"/>
      <c r="W23" s="698"/>
      <c r="X23" s="698"/>
      <c r="Z23" s="667"/>
      <c r="AA23" s="696"/>
      <c r="AB23" s="698"/>
      <c r="AC23" s="698"/>
      <c r="AE23" s="667"/>
      <c r="AF23" s="696"/>
      <c r="AG23" s="698"/>
      <c r="AH23" s="698"/>
      <c r="AJ23" s="667"/>
      <c r="AK23" s="696"/>
      <c r="AL23" s="698"/>
      <c r="AM23" s="698"/>
      <c r="AO23" s="667"/>
      <c r="AP23" s="696"/>
      <c r="AQ23" s="698"/>
      <c r="AR23" s="698"/>
    </row>
    <row r="24" spans="1:44" ht="17" thickBot="1">
      <c r="A24" s="682" t="s">
        <v>188</v>
      </c>
      <c r="B24" s="681">
        <f>'Blumhouse Inputs'!I24</f>
        <v>0</v>
      </c>
      <c r="C24" s="681"/>
      <c r="D24" s="683"/>
      <c r="E24" s="668"/>
      <c r="F24" s="682" t="s">
        <v>188</v>
      </c>
      <c r="G24" s="681">
        <f>'Blumhouse Inputs'!I37</f>
        <v>0</v>
      </c>
      <c r="H24" s="681"/>
      <c r="I24" s="683"/>
      <c r="J24" s="668"/>
      <c r="K24" s="682" t="s">
        <v>188</v>
      </c>
      <c r="L24" s="681">
        <f>'Blumhouse Inputs'!I50</f>
        <v>0</v>
      </c>
      <c r="M24" s="681"/>
      <c r="N24" s="683"/>
      <c r="O24" s="668"/>
      <c r="P24" s="682" t="s">
        <v>188</v>
      </c>
      <c r="Q24" s="681">
        <f>'Blumhouse Inputs'!I63</f>
        <v>0</v>
      </c>
      <c r="R24" s="681"/>
      <c r="S24" s="683"/>
      <c r="T24" s="551"/>
      <c r="U24" s="1059"/>
      <c r="V24" s="698"/>
      <c r="W24" s="698"/>
      <c r="X24" s="698"/>
      <c r="Z24" s="1059"/>
      <c r="AA24" s="698"/>
      <c r="AB24" s="698"/>
      <c r="AC24" s="698"/>
      <c r="AE24" s="1059"/>
      <c r="AF24" s="698"/>
      <c r="AG24" s="698"/>
      <c r="AH24" s="698"/>
      <c r="AJ24" s="1059"/>
      <c r="AK24" s="698"/>
      <c r="AL24" s="698"/>
      <c r="AM24" s="698"/>
      <c r="AO24" s="1059"/>
      <c r="AP24" s="698"/>
      <c r="AQ24" s="698"/>
      <c r="AR24" s="698"/>
    </row>
    <row r="25" spans="1:44" ht="16" thickBot="1">
      <c r="A25" s="679" t="s">
        <v>759</v>
      </c>
      <c r="B25" s="680">
        <f>B23*B24</f>
        <v>0</v>
      </c>
      <c r="C25" s="684"/>
      <c r="D25" s="685"/>
      <c r="E25" s="668"/>
      <c r="F25" s="679" t="s">
        <v>759</v>
      </c>
      <c r="G25" s="680">
        <f>G23*G24</f>
        <v>0</v>
      </c>
      <c r="H25" s="684"/>
      <c r="I25" s="685"/>
      <c r="J25" s="668"/>
      <c r="K25" s="679" t="s">
        <v>759</v>
      </c>
      <c r="L25" s="680">
        <f>L23*L24</f>
        <v>0</v>
      </c>
      <c r="M25" s="684"/>
      <c r="N25" s="685"/>
      <c r="O25" s="668"/>
      <c r="P25" s="679" t="s">
        <v>759</v>
      </c>
      <c r="Q25" s="680">
        <f>Q23*Q24</f>
        <v>0</v>
      </c>
      <c r="R25" s="684"/>
      <c r="S25" s="685"/>
      <c r="T25" s="551"/>
      <c r="U25" s="667"/>
      <c r="V25" s="696"/>
      <c r="W25" s="698"/>
      <c r="X25" s="697"/>
      <c r="Z25" s="667"/>
      <c r="AA25" s="696"/>
      <c r="AB25" s="698"/>
      <c r="AC25" s="697"/>
      <c r="AE25" s="667"/>
      <c r="AF25" s="696"/>
      <c r="AG25" s="698"/>
      <c r="AH25" s="697"/>
      <c r="AJ25" s="667"/>
      <c r="AK25" s="696"/>
      <c r="AL25" s="698"/>
      <c r="AM25" s="697"/>
      <c r="AO25" s="667"/>
      <c r="AP25" s="696"/>
      <c r="AQ25" s="698"/>
      <c r="AR25" s="697"/>
    </row>
    <row r="26" spans="1:44" ht="16" thickBot="1">
      <c r="A26" s="679" t="s">
        <v>192</v>
      </c>
      <c r="B26" s="681">
        <f>'Blumhouse Inputs'!K24</f>
        <v>0</v>
      </c>
      <c r="C26" s="684"/>
      <c r="D26" s="686"/>
      <c r="E26" s="668"/>
      <c r="F26" s="679" t="s">
        <v>192</v>
      </c>
      <c r="G26" s="681">
        <f>'Blumhouse Inputs'!K37</f>
        <v>0</v>
      </c>
      <c r="H26" s="684"/>
      <c r="I26" s="686"/>
      <c r="J26" s="668"/>
      <c r="K26" s="679" t="s">
        <v>192</v>
      </c>
      <c r="L26" s="681">
        <f>'Blumhouse Inputs'!K50</f>
        <v>0</v>
      </c>
      <c r="M26" s="684"/>
      <c r="N26" s="686"/>
      <c r="O26" s="668"/>
      <c r="P26" s="679" t="s">
        <v>192</v>
      </c>
      <c r="Q26" s="681">
        <f>'Blumhouse Inputs'!K63</f>
        <v>0</v>
      </c>
      <c r="R26" s="684"/>
      <c r="S26" s="686"/>
      <c r="U26" s="667"/>
      <c r="V26" s="698"/>
      <c r="W26" s="698"/>
      <c r="X26" s="698"/>
      <c r="Z26" s="667"/>
      <c r="AA26" s="698"/>
      <c r="AB26" s="698"/>
      <c r="AC26" s="698"/>
      <c r="AE26" s="667"/>
      <c r="AF26" s="698"/>
      <c r="AG26" s="698"/>
      <c r="AH26" s="698"/>
      <c r="AJ26" s="667"/>
      <c r="AK26" s="698"/>
      <c r="AL26" s="698"/>
      <c r="AM26" s="698"/>
      <c r="AO26" s="667"/>
      <c r="AP26" s="698"/>
      <c r="AQ26" s="698"/>
      <c r="AR26" s="698"/>
    </row>
    <row r="27" spans="1:44" ht="16" thickBot="1">
      <c r="A27" s="687" t="s">
        <v>195</v>
      </c>
      <c r="B27" s="681">
        <f>'Blumhouse Inputs'!M24</f>
        <v>0</v>
      </c>
      <c r="C27" s="681"/>
      <c r="D27" s="681"/>
      <c r="E27" s="668"/>
      <c r="F27" s="687" t="s">
        <v>195</v>
      </c>
      <c r="G27" s="681">
        <f>'Blumhouse Inputs'!M37</f>
        <v>0</v>
      </c>
      <c r="H27" s="681"/>
      <c r="I27" s="681"/>
      <c r="J27" s="668"/>
      <c r="K27" s="687" t="s">
        <v>195</v>
      </c>
      <c r="L27" s="681">
        <f>'Blumhouse Inputs'!M50</f>
        <v>0</v>
      </c>
      <c r="M27" s="681"/>
      <c r="N27" s="681"/>
      <c r="O27" s="668"/>
      <c r="P27" s="687" t="s">
        <v>195</v>
      </c>
      <c r="Q27" s="681">
        <f>'Blumhouse Inputs'!M63</f>
        <v>0</v>
      </c>
      <c r="R27" s="681"/>
      <c r="S27" s="681"/>
      <c r="U27" s="1060"/>
      <c r="V27" s="698"/>
      <c r="W27" s="698"/>
      <c r="X27" s="698"/>
      <c r="Z27" s="1060"/>
      <c r="AA27" s="698"/>
      <c r="AB27" s="698"/>
      <c r="AC27" s="698"/>
      <c r="AE27" s="1060"/>
      <c r="AF27" s="698"/>
      <c r="AG27" s="698"/>
      <c r="AH27" s="698"/>
      <c r="AJ27" s="1060"/>
      <c r="AK27" s="698"/>
      <c r="AL27" s="698"/>
      <c r="AM27" s="698"/>
      <c r="AO27" s="1060"/>
      <c r="AP27" s="698"/>
      <c r="AQ27" s="698"/>
      <c r="AR27" s="698"/>
    </row>
    <row r="28" spans="1:44" ht="16" thickBot="1">
      <c r="A28" s="679" t="s">
        <v>761</v>
      </c>
      <c r="B28" s="680">
        <f>B25*B26</f>
        <v>0</v>
      </c>
      <c r="C28" s="681"/>
      <c r="D28" s="681"/>
      <c r="E28" s="668"/>
      <c r="F28" s="679" t="s">
        <v>761</v>
      </c>
      <c r="G28" s="680">
        <f>G25*G26</f>
        <v>0</v>
      </c>
      <c r="H28" s="681"/>
      <c r="I28" s="681"/>
      <c r="J28" s="668"/>
      <c r="K28" s="679" t="s">
        <v>761</v>
      </c>
      <c r="L28" s="680">
        <f>L25*L26</f>
        <v>0</v>
      </c>
      <c r="M28" s="681"/>
      <c r="N28" s="681"/>
      <c r="O28" s="668"/>
      <c r="P28" s="679" t="s">
        <v>761</v>
      </c>
      <c r="Q28" s="680">
        <f>Q25*Q26</f>
        <v>0</v>
      </c>
      <c r="R28" s="681"/>
      <c r="S28" s="681"/>
      <c r="U28" s="667"/>
      <c r="V28" s="696"/>
      <c r="W28" s="698"/>
      <c r="X28" s="698"/>
      <c r="Z28" s="667"/>
      <c r="AA28" s="696"/>
      <c r="AB28" s="698"/>
      <c r="AC28" s="698"/>
      <c r="AE28" s="667"/>
      <c r="AF28" s="696"/>
      <c r="AG28" s="698"/>
      <c r="AH28" s="698"/>
      <c r="AJ28" s="667"/>
      <c r="AK28" s="696"/>
      <c r="AL28" s="698"/>
      <c r="AM28" s="698"/>
      <c r="AO28" s="667"/>
      <c r="AP28" s="696"/>
      <c r="AQ28" s="698"/>
      <c r="AR28" s="698"/>
    </row>
    <row r="29" spans="1:44" ht="16" thickBot="1">
      <c r="A29" s="679" t="s">
        <v>762</v>
      </c>
      <c r="B29" s="680">
        <f>B28*B27</f>
        <v>0</v>
      </c>
      <c r="C29" s="681"/>
      <c r="D29" s="681"/>
      <c r="E29" s="668"/>
      <c r="F29" s="679" t="s">
        <v>762</v>
      </c>
      <c r="G29" s="680">
        <f>G28*G27</f>
        <v>0</v>
      </c>
      <c r="H29" s="681"/>
      <c r="I29" s="681"/>
      <c r="J29" s="668"/>
      <c r="K29" s="679" t="s">
        <v>762</v>
      </c>
      <c r="L29" s="680">
        <f>L28*L27</f>
        <v>0</v>
      </c>
      <c r="M29" s="681"/>
      <c r="N29" s="681"/>
      <c r="O29" s="668"/>
      <c r="P29" s="679" t="s">
        <v>762</v>
      </c>
      <c r="Q29" s="680">
        <f>Q28*Q27</f>
        <v>0</v>
      </c>
      <c r="R29" s="681"/>
      <c r="S29" s="681"/>
      <c r="U29" s="667"/>
      <c r="V29" s="696"/>
      <c r="W29" s="698"/>
      <c r="X29" s="698"/>
      <c r="Z29" s="667"/>
      <c r="AA29" s="696"/>
      <c r="AB29" s="698"/>
      <c r="AC29" s="698"/>
      <c r="AE29" s="667"/>
      <c r="AF29" s="696"/>
      <c r="AG29" s="698"/>
      <c r="AH29" s="698"/>
      <c r="AJ29" s="667"/>
      <c r="AK29" s="696"/>
      <c r="AL29" s="698"/>
      <c r="AM29" s="698"/>
      <c r="AO29" s="667"/>
      <c r="AP29" s="696"/>
      <c r="AQ29" s="698"/>
      <c r="AR29" s="698"/>
    </row>
    <row r="30" spans="1:44" ht="16" thickBot="1">
      <c r="A30" s="679" t="s">
        <v>763</v>
      </c>
      <c r="B30" s="688" t="e">
        <f>C34/B29</f>
        <v>#DIV/0!</v>
      </c>
      <c r="C30" s="681"/>
      <c r="D30" s="689"/>
      <c r="E30" s="668"/>
      <c r="F30" s="679" t="s">
        <v>763</v>
      </c>
      <c r="G30" s="688" t="e">
        <f>H34/G29</f>
        <v>#DIV/0!</v>
      </c>
      <c r="H30" s="681"/>
      <c r="I30" s="689"/>
      <c r="J30" s="668"/>
      <c r="K30" s="679" t="s">
        <v>763</v>
      </c>
      <c r="L30" s="688" t="e">
        <f>M34/L29</f>
        <v>#DIV/0!</v>
      </c>
      <c r="M30" s="681"/>
      <c r="N30" s="689"/>
      <c r="O30" s="668"/>
      <c r="P30" s="679" t="s">
        <v>763</v>
      </c>
      <c r="Q30" s="688" t="e">
        <f>R34/Q29</f>
        <v>#DIV/0!</v>
      </c>
      <c r="R30" s="681"/>
      <c r="S30" s="689"/>
      <c r="U30" s="667"/>
      <c r="V30" s="1061"/>
      <c r="W30" s="698"/>
      <c r="X30" s="697"/>
      <c r="Z30" s="667"/>
      <c r="AA30" s="1061"/>
      <c r="AB30" s="698"/>
      <c r="AC30" s="697"/>
      <c r="AE30" s="667"/>
      <c r="AF30" s="1061"/>
      <c r="AG30" s="698"/>
      <c r="AH30" s="697"/>
      <c r="AJ30" s="667"/>
      <c r="AK30" s="1061"/>
      <c r="AL30" s="698"/>
      <c r="AM30" s="697"/>
      <c r="AO30" s="667"/>
      <c r="AP30" s="1061"/>
      <c r="AQ30" s="698"/>
      <c r="AR30" s="697"/>
    </row>
    <row r="31" spans="1:44" ht="16" thickBot="1">
      <c r="A31" s="690"/>
      <c r="B31" s="691" t="s">
        <v>250</v>
      </c>
      <c r="C31" s="691" t="s">
        <v>764</v>
      </c>
      <c r="D31" s="691" t="s">
        <v>18</v>
      </c>
      <c r="E31" s="668"/>
      <c r="F31" s="690"/>
      <c r="G31" s="691" t="s">
        <v>250</v>
      </c>
      <c r="H31" s="691" t="s">
        <v>764</v>
      </c>
      <c r="I31" s="691" t="s">
        <v>18</v>
      </c>
      <c r="J31" s="668"/>
      <c r="K31" s="690"/>
      <c r="L31" s="691" t="s">
        <v>250</v>
      </c>
      <c r="M31" s="691" t="s">
        <v>764</v>
      </c>
      <c r="N31" s="691" t="s">
        <v>18</v>
      </c>
      <c r="O31" s="668"/>
      <c r="P31" s="690"/>
      <c r="Q31" s="691" t="s">
        <v>250</v>
      </c>
      <c r="R31" s="691" t="s">
        <v>764</v>
      </c>
      <c r="S31" s="691" t="s">
        <v>18</v>
      </c>
      <c r="U31" s="1060"/>
      <c r="V31" s="1062"/>
      <c r="W31" s="1062"/>
      <c r="X31" s="1062"/>
      <c r="Z31" s="1060"/>
      <c r="AA31" s="1062"/>
      <c r="AB31" s="1062"/>
      <c r="AC31" s="1062"/>
      <c r="AE31" s="1060"/>
      <c r="AF31" s="1062"/>
      <c r="AG31" s="1062"/>
      <c r="AH31" s="1062"/>
      <c r="AJ31" s="1060"/>
      <c r="AK31" s="1062"/>
      <c r="AL31" s="1062"/>
      <c r="AM31" s="1062"/>
      <c r="AO31" s="1060"/>
      <c r="AP31" s="1062"/>
      <c r="AQ31" s="1062"/>
      <c r="AR31" s="1062"/>
    </row>
    <row r="32" spans="1:44" ht="16" thickBot="1">
      <c r="A32" s="692" t="s">
        <v>765</v>
      </c>
      <c r="B32" s="693">
        <f>ROUND(C32*$B$89,2)</f>
        <v>0</v>
      </c>
      <c r="C32" s="694">
        <f>ROUND(D32*'Ted Inputs'!$G$11,2)</f>
        <v>0</v>
      </c>
      <c r="D32" s="694">
        <f>C21</f>
        <v>0</v>
      </c>
      <c r="E32" s="668"/>
      <c r="F32" s="692" t="s">
        <v>765</v>
      </c>
      <c r="G32" s="693">
        <f>ROUND(H32*$B$89,2)</f>
        <v>0</v>
      </c>
      <c r="H32" s="694">
        <f>ROUND(I32*'Ted Inputs'!$G$11,2)</f>
        <v>0</v>
      </c>
      <c r="I32" s="694">
        <f>H21</f>
        <v>0</v>
      </c>
      <c r="J32" s="668"/>
      <c r="K32" s="692" t="s">
        <v>765</v>
      </c>
      <c r="L32" s="693">
        <f>ROUND(M32*$B$89,2)</f>
        <v>0</v>
      </c>
      <c r="M32" s="694">
        <f>ROUND(N32*'Ted Inputs'!$G$11,2)</f>
        <v>0</v>
      </c>
      <c r="N32" s="694">
        <f>M21</f>
        <v>0</v>
      </c>
      <c r="O32" s="668"/>
      <c r="P32" s="692" t="s">
        <v>765</v>
      </c>
      <c r="Q32" s="693">
        <f>ROUND(R32*$B$89,2)</f>
        <v>0</v>
      </c>
      <c r="R32" s="694">
        <f>ROUND(S32*'Ted Inputs'!$G$11,2)</f>
        <v>0</v>
      </c>
      <c r="S32" s="694">
        <f>R21</f>
        <v>0</v>
      </c>
      <c r="U32" s="1063"/>
      <c r="V32" s="1064"/>
      <c r="W32" s="1065"/>
      <c r="X32" s="1065"/>
      <c r="Z32" s="1063"/>
      <c r="AA32" s="1064"/>
      <c r="AB32" s="1065"/>
      <c r="AC32" s="1065"/>
      <c r="AE32" s="1063"/>
      <c r="AF32" s="1064"/>
      <c r="AG32" s="1065"/>
      <c r="AH32" s="1065"/>
      <c r="AJ32" s="1063"/>
      <c r="AK32" s="1064"/>
      <c r="AL32" s="1065"/>
      <c r="AM32" s="1065"/>
      <c r="AO32" s="1063"/>
      <c r="AP32" s="1064"/>
      <c r="AQ32" s="1065"/>
      <c r="AR32" s="1065"/>
    </row>
    <row r="33" spans="1:44" ht="16" thickBot="1">
      <c r="A33" s="692" t="s">
        <v>766</v>
      </c>
      <c r="B33" s="693">
        <f>ROUND(C33*$B$89,2)</f>
        <v>0</v>
      </c>
      <c r="C33" s="695">
        <f>ROUND(D33*'Ted Inputs'!$G$11,2)</f>
        <v>0</v>
      </c>
      <c r="D33" s="695">
        <f>ROUND(D32*B24,2)</f>
        <v>0</v>
      </c>
      <c r="E33" s="668"/>
      <c r="F33" s="692" t="s">
        <v>766</v>
      </c>
      <c r="G33" s="693">
        <f>ROUND(H33*$B$89,2)</f>
        <v>0</v>
      </c>
      <c r="H33" s="695">
        <f>ROUND(I33*'Ted Inputs'!$G$11,2)</f>
        <v>0</v>
      </c>
      <c r="I33" s="695">
        <f>ROUND(I32*G24,2)</f>
        <v>0</v>
      </c>
      <c r="J33" s="668"/>
      <c r="K33" s="692" t="s">
        <v>766</v>
      </c>
      <c r="L33" s="693">
        <f>ROUND(M33*$B$89,2)</f>
        <v>0</v>
      </c>
      <c r="M33" s="695">
        <f>ROUND(N33*'Ted Inputs'!$G$11,2)</f>
        <v>0</v>
      </c>
      <c r="N33" s="695">
        <f>ROUND(N32*L24,2)</f>
        <v>0</v>
      </c>
      <c r="O33" s="668"/>
      <c r="P33" s="692" t="s">
        <v>766</v>
      </c>
      <c r="Q33" s="693">
        <f>ROUND(R33*$B$89,2)</f>
        <v>0</v>
      </c>
      <c r="R33" s="695">
        <f>ROUND(S33*'Ted Inputs'!$G$11,2)</f>
        <v>0</v>
      </c>
      <c r="S33" s="695">
        <f>ROUND(S32*Q24,2)</f>
        <v>0</v>
      </c>
      <c r="U33" s="1063"/>
      <c r="V33" s="1064"/>
      <c r="W33" s="1066"/>
      <c r="X33" s="1066"/>
      <c r="Z33" s="1063"/>
      <c r="AA33" s="1064"/>
      <c r="AB33" s="1066"/>
      <c r="AC33" s="1066"/>
      <c r="AE33" s="1063"/>
      <c r="AF33" s="1064"/>
      <c r="AG33" s="1066"/>
      <c r="AH33" s="1066"/>
      <c r="AJ33" s="1063"/>
      <c r="AK33" s="1064"/>
      <c r="AL33" s="1066"/>
      <c r="AM33" s="1066"/>
      <c r="AO33" s="1063"/>
      <c r="AP33" s="1064"/>
      <c r="AQ33" s="1066"/>
      <c r="AR33" s="1066"/>
    </row>
    <row r="34" spans="1:44" ht="16" thickBot="1">
      <c r="A34" s="692" t="s">
        <v>767</v>
      </c>
      <c r="B34" s="693">
        <f>ROUND(B33*$B23,2)</f>
        <v>0</v>
      </c>
      <c r="C34" s="695">
        <f>ROUND(C33*B23,2)</f>
        <v>0</v>
      </c>
      <c r="D34" s="695">
        <f>ROUND(D33*B23,2)</f>
        <v>0</v>
      </c>
      <c r="E34" s="668"/>
      <c r="F34" s="692" t="s">
        <v>767</v>
      </c>
      <c r="G34" s="693">
        <f>ROUND(G33*$B23,2)</f>
        <v>0</v>
      </c>
      <c r="H34" s="695">
        <f>ROUND(H33*G23,2)</f>
        <v>0</v>
      </c>
      <c r="I34" s="695">
        <f>ROUND(I33*G23,2)</f>
        <v>0</v>
      </c>
      <c r="J34" s="668"/>
      <c r="K34" s="692" t="s">
        <v>767</v>
      </c>
      <c r="L34" s="693">
        <f>ROUND(L33*$B23,2)</f>
        <v>0</v>
      </c>
      <c r="M34" s="695">
        <f>ROUND(M33*L23,2)</f>
        <v>0</v>
      </c>
      <c r="N34" s="695">
        <f>ROUND(N33*L23,2)</f>
        <v>0</v>
      </c>
      <c r="O34" s="668"/>
      <c r="P34" s="692" t="s">
        <v>767</v>
      </c>
      <c r="Q34" s="693">
        <f>ROUND(Q33*$B23,2)</f>
        <v>0</v>
      </c>
      <c r="R34" s="695">
        <f>ROUND(R33*Q23,2)</f>
        <v>0</v>
      </c>
      <c r="S34" s="695">
        <f>ROUND(S33*Q23,2)</f>
        <v>0</v>
      </c>
      <c r="U34" s="1063"/>
      <c r="V34" s="1064"/>
      <c r="W34" s="1066"/>
      <c r="X34" s="1066"/>
      <c r="Z34" s="1063"/>
      <c r="AA34" s="1064"/>
      <c r="AB34" s="1066"/>
      <c r="AC34" s="1066"/>
      <c r="AE34" s="1063"/>
      <c r="AF34" s="1064"/>
      <c r="AG34" s="1066"/>
      <c r="AH34" s="1066"/>
      <c r="AJ34" s="1063"/>
      <c r="AK34" s="1064"/>
      <c r="AL34" s="1066"/>
      <c r="AM34" s="1066"/>
      <c r="AO34" s="1063"/>
      <c r="AP34" s="1064"/>
      <c r="AQ34" s="1066"/>
      <c r="AR34" s="1066"/>
    </row>
    <row r="35" spans="1:44" ht="16" thickBot="1">
      <c r="A35" s="668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  <c r="Q35" s="668"/>
      <c r="R35" s="668"/>
      <c r="S35" s="668"/>
      <c r="T35" s="551"/>
      <c r="U35" s="668"/>
      <c r="V35" s="668"/>
      <c r="W35" s="668"/>
      <c r="X35" s="668"/>
      <c r="Z35" s="668"/>
      <c r="AA35" s="668"/>
      <c r="AB35" s="668"/>
      <c r="AC35" s="668"/>
      <c r="AE35" s="668"/>
      <c r="AF35" s="668"/>
      <c r="AG35" s="668"/>
      <c r="AH35" s="668"/>
      <c r="AJ35" s="668"/>
      <c r="AK35" s="668"/>
      <c r="AL35" s="668"/>
      <c r="AM35" s="668"/>
      <c r="AO35" s="668"/>
      <c r="AP35" s="668"/>
      <c r="AQ35" s="668"/>
      <c r="AR35" s="668"/>
    </row>
    <row r="36" spans="1:44" ht="16" thickBot="1">
      <c r="A36" s="668"/>
      <c r="B36" s="668"/>
      <c r="C36" s="674" t="s">
        <v>754</v>
      </c>
      <c r="D36" s="675" t="s">
        <v>755</v>
      </c>
      <c r="E36" s="668"/>
      <c r="F36" s="668"/>
      <c r="G36" s="668"/>
      <c r="H36" s="674" t="s">
        <v>754</v>
      </c>
      <c r="I36" s="675" t="s">
        <v>755</v>
      </c>
      <c r="J36" s="668"/>
      <c r="K36" s="668"/>
      <c r="L36" s="668"/>
      <c r="M36" s="674" t="s">
        <v>754</v>
      </c>
      <c r="N36" s="675" t="s">
        <v>755</v>
      </c>
      <c r="O36" s="668"/>
      <c r="P36" s="668"/>
      <c r="Q36" s="668"/>
      <c r="R36" s="674" t="s">
        <v>754</v>
      </c>
      <c r="S36" s="675" t="s">
        <v>755</v>
      </c>
      <c r="T36" s="551"/>
      <c r="U36" s="668"/>
      <c r="V36" s="668"/>
      <c r="W36" s="698"/>
      <c r="X36" s="698"/>
      <c r="Z36" s="668"/>
      <c r="AA36" s="668"/>
      <c r="AB36" s="698"/>
      <c r="AC36" s="698"/>
      <c r="AE36" s="668"/>
      <c r="AF36" s="668"/>
      <c r="AG36" s="698"/>
      <c r="AH36" s="698"/>
      <c r="AJ36" s="668"/>
      <c r="AK36" s="668"/>
      <c r="AL36" s="698"/>
      <c r="AM36" s="698"/>
      <c r="AO36" s="668"/>
      <c r="AP36" s="668"/>
      <c r="AQ36" s="698"/>
      <c r="AR36" s="698"/>
    </row>
    <row r="37" spans="1:44" s="677" customFormat="1" ht="16">
      <c r="A37" s="676" t="s">
        <v>768</v>
      </c>
      <c r="B37" s="1172" t="s">
        <v>18</v>
      </c>
      <c r="C37" s="1176">
        <f>'Blumhouse Inputs'!E25</f>
        <v>24.99</v>
      </c>
      <c r="D37" s="1178">
        <f>C37*B40</f>
        <v>999.59999999999991</v>
      </c>
      <c r="E37" s="1179"/>
      <c r="F37" s="676" t="s">
        <v>768</v>
      </c>
      <c r="G37" s="1172" t="s">
        <v>18</v>
      </c>
      <c r="H37" s="1176">
        <f>'Blumhouse Inputs'!E38</f>
        <v>24.99</v>
      </c>
      <c r="I37" s="1178">
        <f>H37*G40</f>
        <v>999.59999999999991</v>
      </c>
      <c r="J37" s="1179"/>
      <c r="K37" s="676" t="s">
        <v>768</v>
      </c>
      <c r="L37" s="1172" t="s">
        <v>18</v>
      </c>
      <c r="M37" s="1176">
        <f>'Blumhouse Inputs'!E51</f>
        <v>24.99</v>
      </c>
      <c r="N37" s="1178">
        <f>M37*L40</f>
        <v>999.59999999999991</v>
      </c>
      <c r="O37" s="1180"/>
      <c r="P37" s="676" t="s">
        <v>768</v>
      </c>
      <c r="Q37" s="1172" t="s">
        <v>18</v>
      </c>
      <c r="R37" s="1176">
        <f>'Blumhouse Inputs'!E64</f>
        <v>24.99</v>
      </c>
      <c r="S37" s="1178">
        <f>R37*Q40</f>
        <v>999.59999999999991</v>
      </c>
      <c r="T37" s="569"/>
      <c r="U37" s="1057"/>
      <c r="V37" s="1181"/>
      <c r="W37" s="1182"/>
      <c r="X37" s="1183"/>
      <c r="Z37" s="1057"/>
      <c r="AA37" s="1181"/>
      <c r="AB37" s="1182"/>
      <c r="AC37" s="1183"/>
      <c r="AE37" s="1057"/>
      <c r="AF37" s="1181"/>
      <c r="AG37" s="1182"/>
      <c r="AH37" s="1183"/>
      <c r="AJ37" s="1057"/>
      <c r="AK37" s="1181"/>
      <c r="AL37" s="1182"/>
      <c r="AM37" s="1183"/>
      <c r="AO37" s="1057"/>
      <c r="AP37" s="1181"/>
      <c r="AQ37" s="1182"/>
      <c r="AR37" s="1183"/>
    </row>
    <row r="38" spans="1:44" s="677" customFormat="1" ht="16" thickBot="1">
      <c r="A38" s="678" t="s">
        <v>769</v>
      </c>
      <c r="B38" s="1173"/>
      <c r="C38" s="1177"/>
      <c r="D38" s="1175"/>
      <c r="E38" s="1179"/>
      <c r="F38" s="678" t="s">
        <v>769</v>
      </c>
      <c r="G38" s="1173"/>
      <c r="H38" s="1177"/>
      <c r="I38" s="1175"/>
      <c r="J38" s="1179"/>
      <c r="K38" s="678" t="s">
        <v>769</v>
      </c>
      <c r="L38" s="1173"/>
      <c r="M38" s="1177"/>
      <c r="N38" s="1175"/>
      <c r="O38" s="1180"/>
      <c r="P38" s="678" t="s">
        <v>769</v>
      </c>
      <c r="Q38" s="1173"/>
      <c r="R38" s="1177"/>
      <c r="S38" s="1175"/>
      <c r="T38" s="569"/>
      <c r="U38" s="1058"/>
      <c r="V38" s="1181"/>
      <c r="W38" s="1183"/>
      <c r="X38" s="1183"/>
      <c r="Z38" s="1058"/>
      <c r="AA38" s="1181"/>
      <c r="AB38" s="1183"/>
      <c r="AC38" s="1183"/>
      <c r="AE38" s="1058"/>
      <c r="AF38" s="1181"/>
      <c r="AG38" s="1183"/>
      <c r="AH38" s="1183"/>
      <c r="AJ38" s="1058"/>
      <c r="AK38" s="1181"/>
      <c r="AL38" s="1183"/>
      <c r="AM38" s="1183"/>
      <c r="AO38" s="1058"/>
      <c r="AP38" s="1181"/>
      <c r="AQ38" s="1183"/>
      <c r="AR38" s="1183"/>
    </row>
    <row r="39" spans="1:44" ht="16" thickBot="1">
      <c r="A39" s="679" t="s">
        <v>758</v>
      </c>
      <c r="B39" s="680">
        <f>'Blumhouse Inputs'!G25</f>
        <v>750</v>
      </c>
      <c r="C39" s="681"/>
      <c r="D39" s="681"/>
      <c r="E39" s="668"/>
      <c r="F39" s="679" t="s">
        <v>758</v>
      </c>
      <c r="G39" s="680">
        <f>'Blumhouse Inputs'!G38</f>
        <v>500</v>
      </c>
      <c r="H39" s="681"/>
      <c r="I39" s="681"/>
      <c r="J39" s="668"/>
      <c r="K39" s="679" t="s">
        <v>758</v>
      </c>
      <c r="L39" s="680">
        <f>'Blumhouse Inputs'!G51</f>
        <v>500</v>
      </c>
      <c r="M39" s="681"/>
      <c r="N39" s="681"/>
      <c r="O39" s="668"/>
      <c r="P39" s="679" t="s">
        <v>758</v>
      </c>
      <c r="Q39" s="680">
        <f>'Blumhouse Inputs'!G64</f>
        <v>500</v>
      </c>
      <c r="R39" s="681"/>
      <c r="S39" s="681"/>
      <c r="T39" s="551"/>
      <c r="U39" s="667"/>
      <c r="V39" s="696"/>
      <c r="W39" s="698"/>
      <c r="X39" s="698"/>
      <c r="Z39" s="667"/>
      <c r="AA39" s="696"/>
      <c r="AB39" s="698"/>
      <c r="AC39" s="698"/>
      <c r="AE39" s="667"/>
      <c r="AF39" s="696"/>
      <c r="AG39" s="698"/>
      <c r="AH39" s="698"/>
      <c r="AJ39" s="667"/>
      <c r="AK39" s="696"/>
      <c r="AL39" s="698"/>
      <c r="AM39" s="698"/>
      <c r="AO39" s="667"/>
      <c r="AP39" s="696"/>
      <c r="AQ39" s="698"/>
      <c r="AR39" s="698"/>
    </row>
    <row r="40" spans="1:44" ht="17" thickBot="1">
      <c r="A40" s="682" t="s">
        <v>188</v>
      </c>
      <c r="B40" s="681">
        <f>'Blumhouse Inputs'!I25</f>
        <v>40</v>
      </c>
      <c r="C40" s="681"/>
      <c r="D40" s="683"/>
      <c r="E40" s="668"/>
      <c r="F40" s="682" t="s">
        <v>188</v>
      </c>
      <c r="G40" s="681">
        <f>'Blumhouse Inputs'!I38</f>
        <v>40</v>
      </c>
      <c r="H40" s="681"/>
      <c r="I40" s="683"/>
      <c r="J40" s="668"/>
      <c r="K40" s="682" t="s">
        <v>188</v>
      </c>
      <c r="L40" s="681">
        <f>'Blumhouse Inputs'!I51</f>
        <v>40</v>
      </c>
      <c r="M40" s="681"/>
      <c r="N40" s="683"/>
      <c r="O40" s="668"/>
      <c r="P40" s="682" t="s">
        <v>188</v>
      </c>
      <c r="Q40" s="681">
        <f>'Blumhouse Inputs'!I64</f>
        <v>40</v>
      </c>
      <c r="R40" s="681"/>
      <c r="S40" s="683"/>
      <c r="T40" s="551"/>
      <c r="U40" s="1059"/>
      <c r="V40" s="698"/>
      <c r="W40" s="698"/>
      <c r="X40" s="698"/>
      <c r="Z40" s="1059"/>
      <c r="AA40" s="698"/>
      <c r="AB40" s="698"/>
      <c r="AC40" s="698"/>
      <c r="AE40" s="1059"/>
      <c r="AF40" s="698"/>
      <c r="AG40" s="698"/>
      <c r="AH40" s="698"/>
      <c r="AJ40" s="1059"/>
      <c r="AK40" s="698"/>
      <c r="AL40" s="698"/>
      <c r="AM40" s="698"/>
      <c r="AO40" s="1059"/>
      <c r="AP40" s="698"/>
      <c r="AQ40" s="698"/>
      <c r="AR40" s="698"/>
    </row>
    <row r="41" spans="1:44" ht="16" thickBot="1">
      <c r="A41" s="679" t="s">
        <v>759</v>
      </c>
      <c r="B41" s="680">
        <f>B39*B40</f>
        <v>30000</v>
      </c>
      <c r="C41" s="684"/>
      <c r="D41" s="685"/>
      <c r="E41" s="668"/>
      <c r="F41" s="679" t="s">
        <v>759</v>
      </c>
      <c r="G41" s="680">
        <f>G39*G40</f>
        <v>20000</v>
      </c>
      <c r="H41" s="684"/>
      <c r="I41" s="685"/>
      <c r="J41" s="668"/>
      <c r="K41" s="679" t="s">
        <v>759</v>
      </c>
      <c r="L41" s="680">
        <f>L39*L40</f>
        <v>20000</v>
      </c>
      <c r="M41" s="684"/>
      <c r="N41" s="685"/>
      <c r="O41" s="668"/>
      <c r="P41" s="679" t="s">
        <v>759</v>
      </c>
      <c r="Q41" s="680">
        <f>Q39*Q40</f>
        <v>20000</v>
      </c>
      <c r="R41" s="684"/>
      <c r="S41" s="685"/>
      <c r="T41" s="551"/>
      <c r="U41" s="667"/>
      <c r="V41" s="696"/>
      <c r="W41" s="698"/>
      <c r="X41" s="697"/>
      <c r="Z41" s="667"/>
      <c r="AA41" s="696"/>
      <c r="AB41" s="698"/>
      <c r="AC41" s="697"/>
      <c r="AE41" s="667"/>
      <c r="AF41" s="696"/>
      <c r="AG41" s="698"/>
      <c r="AH41" s="697"/>
      <c r="AJ41" s="667"/>
      <c r="AK41" s="696"/>
      <c r="AL41" s="698"/>
      <c r="AM41" s="697"/>
      <c r="AO41" s="667"/>
      <c r="AP41" s="696"/>
      <c r="AQ41" s="698"/>
      <c r="AR41" s="697"/>
    </row>
    <row r="42" spans="1:44" ht="16" thickBot="1">
      <c r="A42" s="679" t="s">
        <v>192</v>
      </c>
      <c r="B42" s="681">
        <f>'Blumhouse Inputs'!K25</f>
        <v>8</v>
      </c>
      <c r="C42" s="684"/>
      <c r="D42" s="686"/>
      <c r="E42" s="668"/>
      <c r="F42" s="679" t="s">
        <v>192</v>
      </c>
      <c r="G42" s="681">
        <f>'Blumhouse Inputs'!K38</f>
        <v>8</v>
      </c>
      <c r="H42" s="684"/>
      <c r="I42" s="686"/>
      <c r="J42" s="668"/>
      <c r="K42" s="679" t="s">
        <v>192</v>
      </c>
      <c r="L42" s="681">
        <f>'Blumhouse Inputs'!K51</f>
        <v>8</v>
      </c>
      <c r="M42" s="684"/>
      <c r="N42" s="686"/>
      <c r="O42" s="668"/>
      <c r="P42" s="679" t="s">
        <v>192</v>
      </c>
      <c r="Q42" s="681">
        <f>'Blumhouse Inputs'!K64</f>
        <v>8</v>
      </c>
      <c r="R42" s="684"/>
      <c r="S42" s="686"/>
      <c r="U42" s="667"/>
      <c r="V42" s="698"/>
      <c r="W42" s="698"/>
      <c r="X42" s="698"/>
      <c r="Z42" s="667"/>
      <c r="AA42" s="698"/>
      <c r="AB42" s="698"/>
      <c r="AC42" s="698"/>
      <c r="AE42" s="667"/>
      <c r="AF42" s="698"/>
      <c r="AG42" s="698"/>
      <c r="AH42" s="698"/>
      <c r="AJ42" s="667"/>
      <c r="AK42" s="698"/>
      <c r="AL42" s="698"/>
      <c r="AM42" s="698"/>
      <c r="AO42" s="667"/>
      <c r="AP42" s="698"/>
      <c r="AQ42" s="698"/>
      <c r="AR42" s="698"/>
    </row>
    <row r="43" spans="1:44" ht="16" thickBot="1">
      <c r="A43" s="687" t="s">
        <v>195</v>
      </c>
      <c r="B43" s="681">
        <f>'Blumhouse Inputs'!M25</f>
        <v>4</v>
      </c>
      <c r="C43" s="681"/>
      <c r="D43" s="681"/>
      <c r="E43" s="668"/>
      <c r="F43" s="687" t="s">
        <v>195</v>
      </c>
      <c r="G43" s="681">
        <f>'Blumhouse Inputs'!M38</f>
        <v>4</v>
      </c>
      <c r="H43" s="681"/>
      <c r="I43" s="681"/>
      <c r="J43" s="668"/>
      <c r="K43" s="687" t="s">
        <v>195</v>
      </c>
      <c r="L43" s="681">
        <f>'Blumhouse Inputs'!M51</f>
        <v>4</v>
      </c>
      <c r="M43" s="681"/>
      <c r="N43" s="681"/>
      <c r="O43" s="668"/>
      <c r="P43" s="687" t="s">
        <v>195</v>
      </c>
      <c r="Q43" s="681">
        <f>'Blumhouse Inputs'!M64</f>
        <v>4</v>
      </c>
      <c r="R43" s="681"/>
      <c r="S43" s="681"/>
      <c r="U43" s="1060"/>
      <c r="V43" s="698"/>
      <c r="W43" s="698"/>
      <c r="X43" s="698"/>
      <c r="Z43" s="1060"/>
      <c r="AA43" s="698"/>
      <c r="AB43" s="698"/>
      <c r="AC43" s="698"/>
      <c r="AE43" s="1060"/>
      <c r="AF43" s="698"/>
      <c r="AG43" s="698"/>
      <c r="AH43" s="698"/>
      <c r="AJ43" s="1060"/>
      <c r="AK43" s="698"/>
      <c r="AL43" s="698"/>
      <c r="AM43" s="698"/>
      <c r="AO43" s="1060"/>
      <c r="AP43" s="698"/>
      <c r="AQ43" s="698"/>
      <c r="AR43" s="698"/>
    </row>
    <row r="44" spans="1:44" ht="16" thickBot="1">
      <c r="A44" s="679" t="s">
        <v>761</v>
      </c>
      <c r="B44" s="680">
        <f>B41*B42</f>
        <v>240000</v>
      </c>
      <c r="C44" s="681"/>
      <c r="D44" s="681"/>
      <c r="E44" s="668"/>
      <c r="F44" s="679" t="s">
        <v>761</v>
      </c>
      <c r="G44" s="680">
        <f>G41*G42</f>
        <v>160000</v>
      </c>
      <c r="H44" s="681"/>
      <c r="I44" s="681"/>
      <c r="J44" s="668"/>
      <c r="K44" s="679" t="s">
        <v>761</v>
      </c>
      <c r="L44" s="680">
        <f>L41*L42</f>
        <v>160000</v>
      </c>
      <c r="M44" s="681"/>
      <c r="N44" s="681"/>
      <c r="O44" s="668"/>
      <c r="P44" s="679" t="s">
        <v>761</v>
      </c>
      <c r="Q44" s="680">
        <f>Q41*Q42</f>
        <v>160000</v>
      </c>
      <c r="R44" s="681"/>
      <c r="S44" s="681"/>
      <c r="U44" s="667"/>
      <c r="V44" s="696"/>
      <c r="W44" s="698"/>
      <c r="X44" s="698"/>
      <c r="Z44" s="667"/>
      <c r="AA44" s="696"/>
      <c r="AB44" s="698"/>
      <c r="AC44" s="698"/>
      <c r="AE44" s="667"/>
      <c r="AF44" s="696"/>
      <c r="AG44" s="698"/>
      <c r="AH44" s="698"/>
      <c r="AJ44" s="667"/>
      <c r="AK44" s="696"/>
      <c r="AL44" s="698"/>
      <c r="AM44" s="698"/>
      <c r="AO44" s="667"/>
      <c r="AP44" s="696"/>
      <c r="AQ44" s="698"/>
      <c r="AR44" s="698"/>
    </row>
    <row r="45" spans="1:44" ht="16" thickBot="1">
      <c r="A45" s="679" t="s">
        <v>762</v>
      </c>
      <c r="B45" s="680">
        <f>B44*B43</f>
        <v>960000</v>
      </c>
      <c r="C45" s="681"/>
      <c r="D45" s="681"/>
      <c r="E45" s="668"/>
      <c r="F45" s="679" t="s">
        <v>762</v>
      </c>
      <c r="G45" s="680">
        <f>G44*G43</f>
        <v>640000</v>
      </c>
      <c r="H45" s="681"/>
      <c r="I45" s="681"/>
      <c r="J45" s="668"/>
      <c r="K45" s="679" t="s">
        <v>762</v>
      </c>
      <c r="L45" s="680">
        <f>L44*L43</f>
        <v>640000</v>
      </c>
      <c r="M45" s="681"/>
      <c r="N45" s="681"/>
      <c r="O45" s="668"/>
      <c r="P45" s="679" t="s">
        <v>762</v>
      </c>
      <c r="Q45" s="680">
        <f>Q44*Q43</f>
        <v>640000</v>
      </c>
      <c r="R45" s="681"/>
      <c r="S45" s="681"/>
      <c r="U45" s="667"/>
      <c r="V45" s="696"/>
      <c r="W45" s="698"/>
      <c r="X45" s="698"/>
      <c r="Z45" s="667"/>
      <c r="AA45" s="696"/>
      <c r="AB45" s="698"/>
      <c r="AC45" s="698"/>
      <c r="AE45" s="667"/>
      <c r="AF45" s="696"/>
      <c r="AG45" s="698"/>
      <c r="AH45" s="698"/>
      <c r="AJ45" s="667"/>
      <c r="AK45" s="696"/>
      <c r="AL45" s="698"/>
      <c r="AM45" s="698"/>
      <c r="AO45" s="667"/>
      <c r="AP45" s="696"/>
      <c r="AQ45" s="698"/>
      <c r="AR45" s="698"/>
    </row>
    <row r="46" spans="1:44" ht="16" thickBot="1">
      <c r="A46" s="679" t="s">
        <v>763</v>
      </c>
      <c r="B46" s="688">
        <f>C50/B45</f>
        <v>0.39046874999999998</v>
      </c>
      <c r="C46" s="681"/>
      <c r="D46" s="689"/>
      <c r="E46" s="668"/>
      <c r="F46" s="679" t="s">
        <v>763</v>
      </c>
      <c r="G46" s="688">
        <f>H50/G45</f>
        <v>0.39046874999999998</v>
      </c>
      <c r="H46" s="681"/>
      <c r="I46" s="689"/>
      <c r="J46" s="668"/>
      <c r="K46" s="679" t="s">
        <v>763</v>
      </c>
      <c r="L46" s="688">
        <f>M50/L45</f>
        <v>0.39046874999999998</v>
      </c>
      <c r="M46" s="681"/>
      <c r="N46" s="689"/>
      <c r="O46" s="668"/>
      <c r="P46" s="679" t="s">
        <v>763</v>
      </c>
      <c r="Q46" s="688">
        <f>R50/Q45</f>
        <v>0.39046874999999998</v>
      </c>
      <c r="R46" s="681"/>
      <c r="S46" s="689"/>
      <c r="U46" s="667"/>
      <c r="V46" s="1061"/>
      <c r="W46" s="698"/>
      <c r="X46" s="697"/>
      <c r="Z46" s="667"/>
      <c r="AA46" s="1061"/>
      <c r="AB46" s="698"/>
      <c r="AC46" s="697"/>
      <c r="AE46" s="667"/>
      <c r="AF46" s="1061"/>
      <c r="AG46" s="698"/>
      <c r="AH46" s="697"/>
      <c r="AJ46" s="667"/>
      <c r="AK46" s="1061"/>
      <c r="AL46" s="698"/>
      <c r="AM46" s="697"/>
      <c r="AO46" s="667"/>
      <c r="AP46" s="1061"/>
      <c r="AQ46" s="698"/>
      <c r="AR46" s="697"/>
    </row>
    <row r="47" spans="1:44" ht="16" thickBot="1">
      <c r="A47" s="690"/>
      <c r="B47" s="691" t="s">
        <v>250</v>
      </c>
      <c r="C47" s="691" t="s">
        <v>764</v>
      </c>
      <c r="D47" s="691" t="s">
        <v>18</v>
      </c>
      <c r="E47" s="668"/>
      <c r="F47" s="690"/>
      <c r="G47" s="691" t="s">
        <v>250</v>
      </c>
      <c r="H47" s="691" t="s">
        <v>764</v>
      </c>
      <c r="I47" s="691" t="s">
        <v>18</v>
      </c>
      <c r="J47" s="668"/>
      <c r="K47" s="690"/>
      <c r="L47" s="691" t="s">
        <v>250</v>
      </c>
      <c r="M47" s="691" t="s">
        <v>764</v>
      </c>
      <c r="N47" s="691" t="s">
        <v>18</v>
      </c>
      <c r="O47" s="668"/>
      <c r="P47" s="690"/>
      <c r="Q47" s="691" t="s">
        <v>250</v>
      </c>
      <c r="R47" s="691" t="s">
        <v>764</v>
      </c>
      <c r="S47" s="691" t="s">
        <v>18</v>
      </c>
      <c r="U47" s="1060"/>
      <c r="V47" s="1062"/>
      <c r="W47" s="1062"/>
      <c r="X47" s="1062"/>
      <c r="Z47" s="1060"/>
      <c r="AA47" s="1062"/>
      <c r="AB47" s="1062"/>
      <c r="AC47" s="1062"/>
      <c r="AE47" s="1060"/>
      <c r="AF47" s="1062"/>
      <c r="AG47" s="1062"/>
      <c r="AH47" s="1062"/>
      <c r="AJ47" s="1060"/>
      <c r="AK47" s="1062"/>
      <c r="AL47" s="1062"/>
      <c r="AM47" s="1062"/>
      <c r="AO47" s="1060"/>
      <c r="AP47" s="1062"/>
      <c r="AQ47" s="1062"/>
      <c r="AR47" s="1062"/>
    </row>
    <row r="48" spans="1:44" ht="16" thickBot="1">
      <c r="A48" s="692" t="s">
        <v>765</v>
      </c>
      <c r="B48" s="693">
        <f>ROUND(C48*$B$89,2)</f>
        <v>6.25</v>
      </c>
      <c r="C48" s="694">
        <f>ROUND(D48*'Ted Inputs'!$G$11,2)</f>
        <v>12.5</v>
      </c>
      <c r="D48" s="694">
        <f>C37</f>
        <v>24.99</v>
      </c>
      <c r="E48" s="668"/>
      <c r="F48" s="692" t="s">
        <v>765</v>
      </c>
      <c r="G48" s="693">
        <f>ROUND(H48*$B$89,2)</f>
        <v>6.25</v>
      </c>
      <c r="H48" s="694">
        <f>ROUND(I48*'Ted Inputs'!$G$11,2)</f>
        <v>12.5</v>
      </c>
      <c r="I48" s="694">
        <f>H37</f>
        <v>24.99</v>
      </c>
      <c r="J48" s="668"/>
      <c r="K48" s="692" t="s">
        <v>765</v>
      </c>
      <c r="L48" s="693">
        <f>ROUND(M48*$B$89,2)</f>
        <v>6.25</v>
      </c>
      <c r="M48" s="694">
        <f>ROUND(N48*'Ted Inputs'!$G$11,2)</f>
        <v>12.5</v>
      </c>
      <c r="N48" s="694">
        <f>M37</f>
        <v>24.99</v>
      </c>
      <c r="O48" s="668"/>
      <c r="P48" s="692" t="s">
        <v>765</v>
      </c>
      <c r="Q48" s="693">
        <f>ROUND(R48*$B$89,2)</f>
        <v>6.25</v>
      </c>
      <c r="R48" s="694">
        <f>ROUND(S48*'Ted Inputs'!$G$11,2)</f>
        <v>12.5</v>
      </c>
      <c r="S48" s="694">
        <f>R37</f>
        <v>24.99</v>
      </c>
      <c r="U48" s="1063"/>
      <c r="V48" s="1064"/>
      <c r="W48" s="1065"/>
      <c r="X48" s="1065"/>
      <c r="Z48" s="1063"/>
      <c r="AA48" s="1064"/>
      <c r="AB48" s="1065"/>
      <c r="AC48" s="1065"/>
      <c r="AE48" s="1063"/>
      <c r="AF48" s="1064"/>
      <c r="AG48" s="1065"/>
      <c r="AH48" s="1065"/>
      <c r="AJ48" s="1063"/>
      <c r="AK48" s="1064"/>
      <c r="AL48" s="1065"/>
      <c r="AM48" s="1065"/>
      <c r="AO48" s="1063"/>
      <c r="AP48" s="1064"/>
      <c r="AQ48" s="1065"/>
      <c r="AR48" s="1065"/>
    </row>
    <row r="49" spans="1:44" ht="16" thickBot="1">
      <c r="A49" s="692" t="s">
        <v>766</v>
      </c>
      <c r="B49" s="693">
        <f>ROUND(C49*$B$89,2)</f>
        <v>249.9</v>
      </c>
      <c r="C49" s="695">
        <f>ROUND(D49*'Ted Inputs'!$G$11,2)</f>
        <v>499.8</v>
      </c>
      <c r="D49" s="695">
        <f>ROUND(D48*B40,2)</f>
        <v>999.6</v>
      </c>
      <c r="E49" s="668"/>
      <c r="F49" s="692" t="s">
        <v>766</v>
      </c>
      <c r="G49" s="693">
        <f>ROUND(H49*$B$89,2)</f>
        <v>249.9</v>
      </c>
      <c r="H49" s="695">
        <f>ROUND(I49*'Ted Inputs'!$G$11,2)</f>
        <v>499.8</v>
      </c>
      <c r="I49" s="695">
        <f>ROUND(I48*G40,2)</f>
        <v>999.6</v>
      </c>
      <c r="J49" s="668"/>
      <c r="K49" s="692" t="s">
        <v>766</v>
      </c>
      <c r="L49" s="693">
        <f>ROUND(M49*$B$89,2)</f>
        <v>249.9</v>
      </c>
      <c r="M49" s="695">
        <f>ROUND(N49*'Ted Inputs'!$G$11,2)</f>
        <v>499.8</v>
      </c>
      <c r="N49" s="695">
        <f>ROUND(N48*L40,2)</f>
        <v>999.6</v>
      </c>
      <c r="O49" s="668"/>
      <c r="P49" s="692" t="s">
        <v>766</v>
      </c>
      <c r="Q49" s="693">
        <f>ROUND(R49*$B$89,2)</f>
        <v>249.9</v>
      </c>
      <c r="R49" s="695">
        <f>ROUND(S49*'Ted Inputs'!$G$11,2)</f>
        <v>499.8</v>
      </c>
      <c r="S49" s="695">
        <f>ROUND(S48*Q40,2)</f>
        <v>999.6</v>
      </c>
      <c r="U49" s="1063"/>
      <c r="V49" s="1064"/>
      <c r="W49" s="1066"/>
      <c r="X49" s="1066"/>
      <c r="Z49" s="1063"/>
      <c r="AA49" s="1064"/>
      <c r="AB49" s="1066"/>
      <c r="AC49" s="1066"/>
      <c r="AE49" s="1063"/>
      <c r="AF49" s="1064"/>
      <c r="AG49" s="1066"/>
      <c r="AH49" s="1066"/>
      <c r="AJ49" s="1063"/>
      <c r="AK49" s="1064"/>
      <c r="AL49" s="1066"/>
      <c r="AM49" s="1066"/>
      <c r="AO49" s="1063"/>
      <c r="AP49" s="1064"/>
      <c r="AQ49" s="1066"/>
      <c r="AR49" s="1066"/>
    </row>
    <row r="50" spans="1:44" ht="16" thickBot="1">
      <c r="A50" s="692" t="s">
        <v>767</v>
      </c>
      <c r="B50" s="693">
        <f>ROUND(B49*$B39,2)</f>
        <v>187425</v>
      </c>
      <c r="C50" s="695">
        <f>ROUND(C49*B39,2)</f>
        <v>374850</v>
      </c>
      <c r="D50" s="695">
        <f>ROUND(D49*B39,2)</f>
        <v>749700</v>
      </c>
      <c r="E50" s="668"/>
      <c r="F50" s="692" t="s">
        <v>767</v>
      </c>
      <c r="G50" s="693">
        <f>ROUND(G49*$B39,2)</f>
        <v>187425</v>
      </c>
      <c r="H50" s="695">
        <f>ROUND(H49*G39,2)</f>
        <v>249900</v>
      </c>
      <c r="I50" s="695">
        <f>ROUND(I49*G39,2)</f>
        <v>499800</v>
      </c>
      <c r="J50" s="668"/>
      <c r="K50" s="692" t="s">
        <v>767</v>
      </c>
      <c r="L50" s="693">
        <f>ROUND(L49*$B39,2)</f>
        <v>187425</v>
      </c>
      <c r="M50" s="695">
        <f>ROUND(M49*L39,2)</f>
        <v>249900</v>
      </c>
      <c r="N50" s="695">
        <f>ROUND(N49*L39,2)</f>
        <v>499800</v>
      </c>
      <c r="O50" s="668"/>
      <c r="P50" s="692" t="s">
        <v>767</v>
      </c>
      <c r="Q50" s="693">
        <f>ROUND(Q49*$B39,2)</f>
        <v>187425</v>
      </c>
      <c r="R50" s="695">
        <f>ROUND(R49*Q39,2)</f>
        <v>249900</v>
      </c>
      <c r="S50" s="695">
        <f>ROUND(S49*Q39,2)</f>
        <v>499800</v>
      </c>
      <c r="U50" s="1063"/>
      <c r="V50" s="1064"/>
      <c r="W50" s="1066"/>
      <c r="X50" s="1066"/>
      <c r="Z50" s="1063"/>
      <c r="AA50" s="1064"/>
      <c r="AB50" s="1066"/>
      <c r="AC50" s="1066"/>
      <c r="AE50" s="1063"/>
      <c r="AF50" s="1064"/>
      <c r="AG50" s="1066"/>
      <c r="AH50" s="1066"/>
      <c r="AJ50" s="1063"/>
      <c r="AK50" s="1064"/>
      <c r="AL50" s="1066"/>
      <c r="AM50" s="1066"/>
      <c r="AO50" s="1063"/>
      <c r="AP50" s="1064"/>
      <c r="AQ50" s="1066"/>
      <c r="AR50" s="1066"/>
    </row>
    <row r="51" spans="1:44" ht="16" thickBot="1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8"/>
      <c r="P51" s="668"/>
      <c r="Q51" s="668"/>
      <c r="R51" s="668"/>
      <c r="S51" s="668"/>
      <c r="U51" s="668"/>
      <c r="V51" s="668"/>
      <c r="W51" s="668"/>
      <c r="X51" s="668"/>
      <c r="Z51" s="668"/>
      <c r="AA51" s="668"/>
      <c r="AB51" s="668"/>
      <c r="AC51" s="668"/>
      <c r="AE51" s="668"/>
      <c r="AF51" s="668"/>
      <c r="AG51" s="668"/>
      <c r="AH51" s="668"/>
      <c r="AJ51" s="668"/>
      <c r="AK51" s="668"/>
      <c r="AL51" s="668"/>
      <c r="AM51" s="668"/>
      <c r="AO51" s="668"/>
      <c r="AP51" s="668"/>
      <c r="AQ51" s="668"/>
      <c r="AR51" s="668"/>
    </row>
    <row r="52" spans="1:44" ht="16" thickBot="1">
      <c r="A52" s="668"/>
      <c r="B52" s="668"/>
      <c r="C52" s="674" t="s">
        <v>754</v>
      </c>
      <c r="D52" s="675" t="s">
        <v>755</v>
      </c>
      <c r="E52" s="668"/>
      <c r="F52" s="668"/>
      <c r="G52" s="668"/>
      <c r="H52" s="674" t="s">
        <v>754</v>
      </c>
      <c r="I52" s="675" t="s">
        <v>755</v>
      </c>
      <c r="J52" s="668"/>
      <c r="K52" s="668"/>
      <c r="L52" s="668"/>
      <c r="M52" s="674" t="s">
        <v>754</v>
      </c>
      <c r="N52" s="675" t="s">
        <v>755</v>
      </c>
      <c r="O52" s="668"/>
      <c r="P52" s="668"/>
      <c r="Q52" s="668"/>
      <c r="R52" s="674" t="s">
        <v>754</v>
      </c>
      <c r="S52" s="675" t="s">
        <v>755</v>
      </c>
      <c r="U52" s="668"/>
      <c r="V52" s="668"/>
      <c r="W52" s="698"/>
      <c r="X52" s="698"/>
      <c r="Z52" s="668"/>
      <c r="AA52" s="668"/>
      <c r="AB52" s="698"/>
      <c r="AC52" s="698"/>
      <c r="AE52" s="668"/>
      <c r="AF52" s="668"/>
      <c r="AG52" s="698"/>
      <c r="AH52" s="698"/>
      <c r="AJ52" s="668"/>
      <c r="AK52" s="668"/>
      <c r="AL52" s="698"/>
      <c r="AM52" s="698"/>
      <c r="AO52" s="668"/>
      <c r="AP52" s="668"/>
      <c r="AQ52" s="698"/>
      <c r="AR52" s="698"/>
    </row>
    <row r="53" spans="1:44" s="677" customFormat="1" ht="16">
      <c r="A53" s="676" t="s">
        <v>770</v>
      </c>
      <c r="B53" s="1172" t="s">
        <v>18</v>
      </c>
      <c r="C53" s="1176">
        <f>'Blumhouse Inputs'!E26</f>
        <v>0</v>
      </c>
      <c r="D53" s="1178">
        <f>C53*B56</f>
        <v>0</v>
      </c>
      <c r="E53" s="1179"/>
      <c r="F53" s="676" t="s">
        <v>770</v>
      </c>
      <c r="G53" s="1172" t="s">
        <v>18</v>
      </c>
      <c r="H53" s="1176">
        <f>'Blumhouse Inputs'!E39</f>
        <v>0</v>
      </c>
      <c r="I53" s="1178">
        <f>H53*G56</f>
        <v>0</v>
      </c>
      <c r="J53" s="1179"/>
      <c r="K53" s="676" t="s">
        <v>770</v>
      </c>
      <c r="L53" s="1172" t="s">
        <v>18</v>
      </c>
      <c r="M53" s="1176">
        <f>'Blumhouse Inputs'!E52</f>
        <v>0</v>
      </c>
      <c r="N53" s="1178">
        <f>M53*L56</f>
        <v>0</v>
      </c>
      <c r="O53" s="1180"/>
      <c r="P53" s="676" t="s">
        <v>770</v>
      </c>
      <c r="Q53" s="1172" t="s">
        <v>18</v>
      </c>
      <c r="R53" s="1176">
        <f>'Blumhouse Inputs'!E65</f>
        <v>0</v>
      </c>
      <c r="S53" s="1178">
        <f>R53*Q56</f>
        <v>0</v>
      </c>
      <c r="U53" s="1057"/>
      <c r="V53" s="1181"/>
      <c r="W53" s="1182"/>
      <c r="X53" s="1183"/>
      <c r="Z53" s="1057"/>
      <c r="AA53" s="1181"/>
      <c r="AB53" s="1182"/>
      <c r="AC53" s="1183"/>
      <c r="AE53" s="1057"/>
      <c r="AF53" s="1181"/>
      <c r="AG53" s="1182"/>
      <c r="AH53" s="1183"/>
      <c r="AJ53" s="1057"/>
      <c r="AK53" s="1181"/>
      <c r="AL53" s="1182"/>
      <c r="AM53" s="1183"/>
      <c r="AO53" s="1057"/>
      <c r="AP53" s="1181"/>
      <c r="AQ53" s="1182"/>
      <c r="AR53" s="1183"/>
    </row>
    <row r="54" spans="1:44" s="677" customFormat="1" ht="16" thickBot="1">
      <c r="A54" s="678" t="s">
        <v>771</v>
      </c>
      <c r="B54" s="1173"/>
      <c r="C54" s="1177"/>
      <c r="D54" s="1175"/>
      <c r="E54" s="1179"/>
      <c r="F54" s="678" t="s">
        <v>771</v>
      </c>
      <c r="G54" s="1173"/>
      <c r="H54" s="1177"/>
      <c r="I54" s="1175"/>
      <c r="J54" s="1179"/>
      <c r="K54" s="678" t="s">
        <v>771</v>
      </c>
      <c r="L54" s="1173"/>
      <c r="M54" s="1177"/>
      <c r="N54" s="1175"/>
      <c r="O54" s="1180"/>
      <c r="P54" s="678" t="s">
        <v>771</v>
      </c>
      <c r="Q54" s="1173"/>
      <c r="R54" s="1177"/>
      <c r="S54" s="1175"/>
      <c r="U54" s="1058"/>
      <c r="V54" s="1181"/>
      <c r="W54" s="1183"/>
      <c r="X54" s="1183"/>
      <c r="Z54" s="1058"/>
      <c r="AA54" s="1181"/>
      <c r="AB54" s="1183"/>
      <c r="AC54" s="1183"/>
      <c r="AE54" s="1058"/>
      <c r="AF54" s="1181"/>
      <c r="AG54" s="1183"/>
      <c r="AH54" s="1183"/>
      <c r="AJ54" s="1058"/>
      <c r="AK54" s="1181"/>
      <c r="AL54" s="1183"/>
      <c r="AM54" s="1183"/>
      <c r="AO54" s="1058"/>
      <c r="AP54" s="1181"/>
      <c r="AQ54" s="1183"/>
      <c r="AR54" s="1183"/>
    </row>
    <row r="55" spans="1:44" ht="16" thickBot="1">
      <c r="A55" s="679" t="s">
        <v>758</v>
      </c>
      <c r="B55" s="681">
        <f>'Blumhouse Inputs'!G26</f>
        <v>0</v>
      </c>
      <c r="C55" s="681"/>
      <c r="D55" s="681"/>
      <c r="E55" s="668"/>
      <c r="F55" s="679" t="s">
        <v>758</v>
      </c>
      <c r="G55" s="681">
        <f>'Blumhouse Inputs'!G39</f>
        <v>0</v>
      </c>
      <c r="H55" s="681"/>
      <c r="I55" s="681"/>
      <c r="J55" s="668"/>
      <c r="K55" s="679" t="s">
        <v>758</v>
      </c>
      <c r="L55" s="681">
        <f>'Blumhouse Inputs'!G52</f>
        <v>0</v>
      </c>
      <c r="M55" s="681"/>
      <c r="N55" s="681"/>
      <c r="O55" s="668"/>
      <c r="P55" s="679" t="s">
        <v>758</v>
      </c>
      <c r="Q55" s="681">
        <f>'Blumhouse Inputs'!G65</f>
        <v>0</v>
      </c>
      <c r="R55" s="681"/>
      <c r="S55" s="681"/>
      <c r="U55" s="667"/>
      <c r="V55" s="698"/>
      <c r="W55" s="698"/>
      <c r="X55" s="698"/>
      <c r="Z55" s="667"/>
      <c r="AA55" s="698"/>
      <c r="AB55" s="698"/>
      <c r="AC55" s="698"/>
      <c r="AE55" s="667"/>
      <c r="AF55" s="698"/>
      <c r="AG55" s="698"/>
      <c r="AH55" s="698"/>
      <c r="AJ55" s="667"/>
      <c r="AK55" s="698"/>
      <c r="AL55" s="698"/>
      <c r="AM55" s="698"/>
      <c r="AO55" s="667"/>
      <c r="AP55" s="698"/>
      <c r="AQ55" s="698"/>
      <c r="AR55" s="698"/>
    </row>
    <row r="56" spans="1:44" ht="17" thickBot="1">
      <c r="A56" s="682" t="s">
        <v>188</v>
      </c>
      <c r="B56" s="681">
        <f>'Blumhouse Inputs'!I26</f>
        <v>0</v>
      </c>
      <c r="C56" s="681"/>
      <c r="D56" s="683"/>
      <c r="E56" s="668"/>
      <c r="F56" s="682" t="s">
        <v>188</v>
      </c>
      <c r="G56" s="681">
        <f>'Blumhouse Inputs'!I39</f>
        <v>0</v>
      </c>
      <c r="H56" s="681"/>
      <c r="I56" s="683"/>
      <c r="J56" s="668"/>
      <c r="K56" s="682" t="s">
        <v>188</v>
      </c>
      <c r="L56" s="681">
        <f>'Blumhouse Inputs'!K52</f>
        <v>0</v>
      </c>
      <c r="M56" s="681"/>
      <c r="N56" s="683"/>
      <c r="O56" s="668"/>
      <c r="P56" s="682" t="s">
        <v>188</v>
      </c>
      <c r="Q56" s="681">
        <f>'Blumhouse Inputs'!I65</f>
        <v>0</v>
      </c>
      <c r="R56" s="681"/>
      <c r="S56" s="683"/>
      <c r="U56" s="1059"/>
      <c r="V56" s="698"/>
      <c r="W56" s="698"/>
      <c r="X56" s="698"/>
      <c r="Z56" s="1059"/>
      <c r="AA56" s="698"/>
      <c r="AB56" s="698"/>
      <c r="AC56" s="698"/>
      <c r="AE56" s="1059"/>
      <c r="AF56" s="698"/>
      <c r="AG56" s="698"/>
      <c r="AH56" s="698"/>
      <c r="AJ56" s="1059"/>
      <c r="AK56" s="698"/>
      <c r="AL56" s="698"/>
      <c r="AM56" s="698"/>
      <c r="AO56" s="1059"/>
      <c r="AP56" s="698"/>
      <c r="AQ56" s="698"/>
      <c r="AR56" s="698"/>
    </row>
    <row r="57" spans="1:44" ht="16" thickBot="1">
      <c r="A57" s="679" t="s">
        <v>759</v>
      </c>
      <c r="B57" s="680">
        <f>B55*B56</f>
        <v>0</v>
      </c>
      <c r="C57" s="684"/>
      <c r="D57" s="685"/>
      <c r="E57" s="668"/>
      <c r="F57" s="679" t="s">
        <v>759</v>
      </c>
      <c r="G57" s="680">
        <f>G55*G56</f>
        <v>0</v>
      </c>
      <c r="H57" s="684"/>
      <c r="I57" s="685"/>
      <c r="J57" s="668"/>
      <c r="K57" s="679" t="s">
        <v>759</v>
      </c>
      <c r="L57" s="680">
        <f>L55*L56</f>
        <v>0</v>
      </c>
      <c r="M57" s="684"/>
      <c r="N57" s="685"/>
      <c r="O57" s="668"/>
      <c r="P57" s="679" t="s">
        <v>759</v>
      </c>
      <c r="Q57" s="680">
        <f>Q55*Q56</f>
        <v>0</v>
      </c>
      <c r="R57" s="684"/>
      <c r="S57" s="685"/>
      <c r="U57" s="667"/>
      <c r="V57" s="696"/>
      <c r="W57" s="698"/>
      <c r="X57" s="697"/>
      <c r="Z57" s="667"/>
      <c r="AA57" s="696"/>
      <c r="AB57" s="698"/>
      <c r="AC57" s="697"/>
      <c r="AE57" s="667"/>
      <c r="AF57" s="696"/>
      <c r="AG57" s="698"/>
      <c r="AH57" s="697"/>
      <c r="AJ57" s="667"/>
      <c r="AK57" s="696"/>
      <c r="AL57" s="698"/>
      <c r="AM57" s="697"/>
      <c r="AO57" s="667"/>
      <c r="AP57" s="696"/>
      <c r="AQ57" s="698"/>
      <c r="AR57" s="697"/>
    </row>
    <row r="58" spans="1:44" ht="16" thickBot="1">
      <c r="A58" s="679" t="s">
        <v>192</v>
      </c>
      <c r="B58" s="681">
        <f>'Blumhouse Inputs'!K26</f>
        <v>0</v>
      </c>
      <c r="C58" s="684"/>
      <c r="D58" s="686"/>
      <c r="E58" s="668"/>
      <c r="F58" s="679" t="s">
        <v>192</v>
      </c>
      <c r="G58" s="681">
        <f>'Blumhouse Inputs'!K39</f>
        <v>0</v>
      </c>
      <c r="H58" s="684"/>
      <c r="I58" s="686"/>
      <c r="J58" s="668"/>
      <c r="K58" s="679" t="s">
        <v>192</v>
      </c>
      <c r="L58" s="681">
        <f>'Blumhouse Inputs'!K52</f>
        <v>0</v>
      </c>
      <c r="M58" s="684"/>
      <c r="N58" s="686"/>
      <c r="O58" s="668"/>
      <c r="P58" s="679" t="s">
        <v>192</v>
      </c>
      <c r="Q58" s="681">
        <f>'Blumhouse Inputs'!K65</f>
        <v>0</v>
      </c>
      <c r="R58" s="684"/>
      <c r="S58" s="686"/>
      <c r="U58" s="667"/>
      <c r="V58" s="698"/>
      <c r="W58" s="698"/>
      <c r="X58" s="698"/>
      <c r="Z58" s="667"/>
      <c r="AA58" s="698"/>
      <c r="AB58" s="698"/>
      <c r="AC58" s="698"/>
      <c r="AE58" s="667"/>
      <c r="AF58" s="698"/>
      <c r="AG58" s="698"/>
      <c r="AH58" s="698"/>
      <c r="AJ58" s="667"/>
      <c r="AK58" s="698"/>
      <c r="AL58" s="698"/>
      <c r="AM58" s="698"/>
      <c r="AO58" s="667"/>
      <c r="AP58" s="698"/>
      <c r="AQ58" s="698"/>
      <c r="AR58" s="698"/>
    </row>
    <row r="59" spans="1:44" ht="16" thickBot="1">
      <c r="A59" s="687" t="s">
        <v>195</v>
      </c>
      <c r="B59" s="681">
        <f>'Blumhouse Inputs'!M26</f>
        <v>0</v>
      </c>
      <c r="C59" s="681"/>
      <c r="D59" s="681"/>
      <c r="E59" s="668"/>
      <c r="F59" s="687" t="s">
        <v>195</v>
      </c>
      <c r="G59" s="681">
        <f>'Blumhouse Inputs'!M39</f>
        <v>0</v>
      </c>
      <c r="H59" s="681"/>
      <c r="I59" s="681"/>
      <c r="J59" s="668"/>
      <c r="K59" s="687" t="s">
        <v>195</v>
      </c>
      <c r="L59" s="681">
        <f>'Blumhouse Inputs'!M52</f>
        <v>0</v>
      </c>
      <c r="M59" s="681"/>
      <c r="N59" s="681"/>
      <c r="O59" s="668"/>
      <c r="P59" s="687" t="s">
        <v>195</v>
      </c>
      <c r="Q59" s="681">
        <f>'Blumhouse Inputs'!M65</f>
        <v>0</v>
      </c>
      <c r="R59" s="681"/>
      <c r="S59" s="681"/>
      <c r="U59" s="1060"/>
      <c r="V59" s="698"/>
      <c r="W59" s="698"/>
      <c r="X59" s="698"/>
      <c r="Z59" s="1060"/>
      <c r="AA59" s="698"/>
      <c r="AB59" s="698"/>
      <c r="AC59" s="698"/>
      <c r="AE59" s="1060"/>
      <c r="AF59" s="698"/>
      <c r="AG59" s="698"/>
      <c r="AH59" s="698"/>
      <c r="AJ59" s="1060"/>
      <c r="AK59" s="698"/>
      <c r="AL59" s="698"/>
      <c r="AM59" s="698"/>
      <c r="AO59" s="1060"/>
      <c r="AP59" s="698"/>
      <c r="AQ59" s="698"/>
      <c r="AR59" s="698"/>
    </row>
    <row r="60" spans="1:44" ht="16" thickBot="1">
      <c r="A60" s="679" t="s">
        <v>761</v>
      </c>
      <c r="B60" s="680">
        <f>B57*B58</f>
        <v>0</v>
      </c>
      <c r="C60" s="681"/>
      <c r="D60" s="681"/>
      <c r="E60" s="668"/>
      <c r="F60" s="679" t="s">
        <v>761</v>
      </c>
      <c r="G60" s="680">
        <f>G57*G58</f>
        <v>0</v>
      </c>
      <c r="H60" s="681"/>
      <c r="I60" s="681"/>
      <c r="J60" s="668"/>
      <c r="K60" s="679" t="s">
        <v>761</v>
      </c>
      <c r="L60" s="680">
        <f>L57*L58</f>
        <v>0</v>
      </c>
      <c r="M60" s="681"/>
      <c r="N60" s="681"/>
      <c r="O60" s="668"/>
      <c r="P60" s="679" t="s">
        <v>761</v>
      </c>
      <c r="Q60" s="680">
        <f>Q57*Q58</f>
        <v>0</v>
      </c>
      <c r="R60" s="681"/>
      <c r="S60" s="681"/>
      <c r="U60" s="667"/>
      <c r="V60" s="696"/>
      <c r="W60" s="698"/>
      <c r="X60" s="698"/>
      <c r="Z60" s="667"/>
      <c r="AA60" s="696"/>
      <c r="AB60" s="698"/>
      <c r="AC60" s="698"/>
      <c r="AE60" s="667"/>
      <c r="AF60" s="696"/>
      <c r="AG60" s="698"/>
      <c r="AH60" s="698"/>
      <c r="AJ60" s="667"/>
      <c r="AK60" s="696"/>
      <c r="AL60" s="698"/>
      <c r="AM60" s="698"/>
      <c r="AO60" s="667"/>
      <c r="AP60" s="696"/>
      <c r="AQ60" s="698"/>
      <c r="AR60" s="698"/>
    </row>
    <row r="61" spans="1:44" ht="16" thickBot="1">
      <c r="A61" s="679" t="s">
        <v>762</v>
      </c>
      <c r="B61" s="680">
        <f>B60*B59</f>
        <v>0</v>
      </c>
      <c r="C61" s="681"/>
      <c r="D61" s="681"/>
      <c r="E61" s="668"/>
      <c r="F61" s="679" t="s">
        <v>762</v>
      </c>
      <c r="G61" s="680">
        <f>G60*G59</f>
        <v>0</v>
      </c>
      <c r="H61" s="681"/>
      <c r="I61" s="681"/>
      <c r="J61" s="668"/>
      <c r="K61" s="679" t="s">
        <v>762</v>
      </c>
      <c r="L61" s="680">
        <f>L60*L59</f>
        <v>0</v>
      </c>
      <c r="M61" s="681"/>
      <c r="N61" s="681"/>
      <c r="O61" s="668"/>
      <c r="P61" s="679" t="s">
        <v>762</v>
      </c>
      <c r="Q61" s="680">
        <f>Q60*Q59</f>
        <v>0</v>
      </c>
      <c r="R61" s="681"/>
      <c r="S61" s="681"/>
      <c r="U61" s="667"/>
      <c r="V61" s="696"/>
      <c r="W61" s="698"/>
      <c r="X61" s="698"/>
      <c r="Z61" s="667"/>
      <c r="AA61" s="696"/>
      <c r="AB61" s="698"/>
      <c r="AC61" s="698"/>
      <c r="AE61" s="667"/>
      <c r="AF61" s="696"/>
      <c r="AG61" s="698"/>
      <c r="AH61" s="698"/>
      <c r="AJ61" s="667"/>
      <c r="AK61" s="696"/>
      <c r="AL61" s="698"/>
      <c r="AM61" s="698"/>
      <c r="AO61" s="667"/>
      <c r="AP61" s="696"/>
      <c r="AQ61" s="698"/>
      <c r="AR61" s="698"/>
    </row>
    <row r="62" spans="1:44" ht="16" thickBot="1">
      <c r="A62" s="679" t="s">
        <v>763</v>
      </c>
      <c r="B62" s="688" t="e">
        <f>C66/B61</f>
        <v>#DIV/0!</v>
      </c>
      <c r="C62" s="681"/>
      <c r="D62" s="689"/>
      <c r="E62" s="668"/>
      <c r="F62" s="679" t="s">
        <v>763</v>
      </c>
      <c r="G62" s="688" t="e">
        <f>H66/G61</f>
        <v>#DIV/0!</v>
      </c>
      <c r="H62" s="681"/>
      <c r="I62" s="689"/>
      <c r="J62" s="668"/>
      <c r="K62" s="679" t="s">
        <v>763</v>
      </c>
      <c r="L62" s="688" t="e">
        <f>M66/L61</f>
        <v>#DIV/0!</v>
      </c>
      <c r="M62" s="681"/>
      <c r="N62" s="689"/>
      <c r="O62" s="668"/>
      <c r="P62" s="679" t="s">
        <v>763</v>
      </c>
      <c r="Q62" s="688" t="e">
        <f>R66/Q61</f>
        <v>#DIV/0!</v>
      </c>
      <c r="R62" s="681"/>
      <c r="S62" s="689"/>
      <c r="U62" s="667"/>
      <c r="V62" s="1061"/>
      <c r="W62" s="698"/>
      <c r="X62" s="697"/>
      <c r="Z62" s="667"/>
      <c r="AA62" s="1061"/>
      <c r="AB62" s="698"/>
      <c r="AC62" s="697"/>
      <c r="AE62" s="667"/>
      <c r="AF62" s="1061"/>
      <c r="AG62" s="698"/>
      <c r="AH62" s="697"/>
      <c r="AJ62" s="667"/>
      <c r="AK62" s="1061"/>
      <c r="AL62" s="698"/>
      <c r="AM62" s="697"/>
      <c r="AO62" s="667"/>
      <c r="AP62" s="1061"/>
      <c r="AQ62" s="698"/>
      <c r="AR62" s="697"/>
    </row>
    <row r="63" spans="1:44" ht="16" thickBot="1">
      <c r="A63" s="690"/>
      <c r="B63" s="691" t="s">
        <v>250</v>
      </c>
      <c r="C63" s="691" t="s">
        <v>764</v>
      </c>
      <c r="D63" s="691" t="s">
        <v>18</v>
      </c>
      <c r="E63" s="668"/>
      <c r="F63" s="690"/>
      <c r="G63" s="691" t="s">
        <v>250</v>
      </c>
      <c r="H63" s="691" t="s">
        <v>764</v>
      </c>
      <c r="I63" s="691" t="s">
        <v>18</v>
      </c>
      <c r="J63" s="668"/>
      <c r="K63" s="690"/>
      <c r="L63" s="691" t="s">
        <v>250</v>
      </c>
      <c r="M63" s="691" t="s">
        <v>764</v>
      </c>
      <c r="N63" s="691" t="s">
        <v>18</v>
      </c>
      <c r="O63" s="668"/>
      <c r="P63" s="690"/>
      <c r="Q63" s="691" t="s">
        <v>250</v>
      </c>
      <c r="R63" s="691" t="s">
        <v>764</v>
      </c>
      <c r="S63" s="691" t="s">
        <v>18</v>
      </c>
      <c r="U63" s="1060"/>
      <c r="V63" s="1062"/>
      <c r="W63" s="1062"/>
      <c r="X63" s="1062"/>
      <c r="Z63" s="1060"/>
      <c r="AA63" s="1062"/>
      <c r="AB63" s="1062"/>
      <c r="AC63" s="1062"/>
      <c r="AE63" s="1060"/>
      <c r="AF63" s="1062"/>
      <c r="AG63" s="1062"/>
      <c r="AH63" s="1062"/>
      <c r="AJ63" s="1060"/>
      <c r="AK63" s="1062"/>
      <c r="AL63" s="1062"/>
      <c r="AM63" s="1062"/>
      <c r="AO63" s="1060"/>
      <c r="AP63" s="1062"/>
      <c r="AQ63" s="1062"/>
      <c r="AR63" s="1062"/>
    </row>
    <row r="64" spans="1:44" ht="16" thickBot="1">
      <c r="A64" s="692" t="s">
        <v>765</v>
      </c>
      <c r="B64" s="693">
        <f>ROUND(C64*$B$89,2)</f>
        <v>0</v>
      </c>
      <c r="C64" s="694">
        <f>ROUND(D64*'Ted Inputs'!$G$11,2)</f>
        <v>0</v>
      </c>
      <c r="D64" s="694">
        <f>C53</f>
        <v>0</v>
      </c>
      <c r="E64" s="668"/>
      <c r="F64" s="692" t="s">
        <v>765</v>
      </c>
      <c r="G64" s="693">
        <f>ROUND(H64*$B$89,2)</f>
        <v>0</v>
      </c>
      <c r="H64" s="694">
        <f>ROUND(I64*'Ted Inputs'!$G$11,2)</f>
        <v>0</v>
      </c>
      <c r="I64" s="694">
        <f>H53</f>
        <v>0</v>
      </c>
      <c r="J64" s="668"/>
      <c r="K64" s="692" t="s">
        <v>765</v>
      </c>
      <c r="L64" s="693">
        <f>ROUND(M64*$B$89,2)</f>
        <v>0</v>
      </c>
      <c r="M64" s="694">
        <f>ROUND(N64*'Ted Inputs'!$G$11,2)</f>
        <v>0</v>
      </c>
      <c r="N64" s="694">
        <f>M53</f>
        <v>0</v>
      </c>
      <c r="O64" s="668"/>
      <c r="P64" s="692" t="s">
        <v>765</v>
      </c>
      <c r="Q64" s="693">
        <f>ROUND(R64*$B$89,2)</f>
        <v>0</v>
      </c>
      <c r="R64" s="694">
        <f>ROUND(S64*'Ted Inputs'!$G$11,2)</f>
        <v>0</v>
      </c>
      <c r="S64" s="694">
        <f>R53</f>
        <v>0</v>
      </c>
      <c r="U64" s="1063"/>
      <c r="V64" s="1064"/>
      <c r="W64" s="1065"/>
      <c r="X64" s="1065"/>
      <c r="Z64" s="1063"/>
      <c r="AA64" s="1064"/>
      <c r="AB64" s="1065"/>
      <c r="AC64" s="1065"/>
      <c r="AE64" s="1063"/>
      <c r="AF64" s="1064"/>
      <c r="AG64" s="1065"/>
      <c r="AH64" s="1065"/>
      <c r="AJ64" s="1063"/>
      <c r="AK64" s="1064"/>
      <c r="AL64" s="1065"/>
      <c r="AM64" s="1065"/>
      <c r="AO64" s="1063"/>
      <c r="AP64" s="1064"/>
      <c r="AQ64" s="1065"/>
      <c r="AR64" s="1065"/>
    </row>
    <row r="65" spans="1:44" ht="16" thickBot="1">
      <c r="A65" s="692" t="s">
        <v>766</v>
      </c>
      <c r="B65" s="693">
        <f>ROUND(C65*$B$89,2)</f>
        <v>0</v>
      </c>
      <c r="C65" s="695">
        <f>ROUND(D65*'Ted Inputs'!$G$11,2)</f>
        <v>0</v>
      </c>
      <c r="D65" s="695">
        <f>ROUND(D64*B56,2)</f>
        <v>0</v>
      </c>
      <c r="E65" s="668"/>
      <c r="F65" s="692" t="s">
        <v>766</v>
      </c>
      <c r="G65" s="693">
        <f>ROUND(H65*$B$89,2)</f>
        <v>0</v>
      </c>
      <c r="H65" s="695">
        <f>ROUND(I65*'Ted Inputs'!$G$11,2)</f>
        <v>0</v>
      </c>
      <c r="I65" s="695">
        <f>ROUND(I64*G56,2)</f>
        <v>0</v>
      </c>
      <c r="J65" s="668"/>
      <c r="K65" s="692" t="s">
        <v>766</v>
      </c>
      <c r="L65" s="693">
        <f>ROUND(M65*$B$89,2)</f>
        <v>0</v>
      </c>
      <c r="M65" s="695">
        <f>ROUND(N65*'Ted Inputs'!$G$11,2)</f>
        <v>0</v>
      </c>
      <c r="N65" s="695">
        <f>ROUND(N64*L56,2)</f>
        <v>0</v>
      </c>
      <c r="O65" s="668"/>
      <c r="P65" s="692" t="s">
        <v>766</v>
      </c>
      <c r="Q65" s="693">
        <f>ROUND(R65*$B$89,2)</f>
        <v>0</v>
      </c>
      <c r="R65" s="695">
        <f>ROUND(S65*'Ted Inputs'!$G$11,2)</f>
        <v>0</v>
      </c>
      <c r="S65" s="695">
        <f>ROUND(S64*Q56,2)</f>
        <v>0</v>
      </c>
      <c r="U65" s="1063"/>
      <c r="V65" s="1064"/>
      <c r="W65" s="1066"/>
      <c r="X65" s="1066"/>
      <c r="Z65" s="1063"/>
      <c r="AA65" s="1064"/>
      <c r="AB65" s="1066"/>
      <c r="AC65" s="1066"/>
      <c r="AE65" s="1063"/>
      <c r="AF65" s="1064"/>
      <c r="AG65" s="1066"/>
      <c r="AH65" s="1066"/>
      <c r="AJ65" s="1063"/>
      <c r="AK65" s="1064"/>
      <c r="AL65" s="1066"/>
      <c r="AM65" s="1066"/>
      <c r="AO65" s="1063"/>
      <c r="AP65" s="1064"/>
      <c r="AQ65" s="1066"/>
      <c r="AR65" s="1066"/>
    </row>
    <row r="66" spans="1:44" ht="16" thickBot="1">
      <c r="A66" s="692" t="s">
        <v>767</v>
      </c>
      <c r="B66" s="693">
        <f>ROUND(B65*$B55,2)</f>
        <v>0</v>
      </c>
      <c r="C66" s="695">
        <f>ROUND(C65*B55,2)</f>
        <v>0</v>
      </c>
      <c r="D66" s="695">
        <f>ROUND(D65*B55,2)</f>
        <v>0</v>
      </c>
      <c r="E66" s="668"/>
      <c r="F66" s="692" t="s">
        <v>767</v>
      </c>
      <c r="G66" s="693">
        <f>ROUND(G65*$B55,2)</f>
        <v>0</v>
      </c>
      <c r="H66" s="695">
        <f>ROUND(H65*G55,2)</f>
        <v>0</v>
      </c>
      <c r="I66" s="695">
        <f>ROUND(I65*G55,2)</f>
        <v>0</v>
      </c>
      <c r="J66" s="668"/>
      <c r="K66" s="692" t="s">
        <v>767</v>
      </c>
      <c r="L66" s="693">
        <f>ROUND(L65*$B55,2)</f>
        <v>0</v>
      </c>
      <c r="M66" s="695">
        <f>ROUND(M65*L55,2)</f>
        <v>0</v>
      </c>
      <c r="N66" s="695">
        <f>ROUND(N65*L55,2)</f>
        <v>0</v>
      </c>
      <c r="O66" s="668"/>
      <c r="P66" s="692" t="s">
        <v>767</v>
      </c>
      <c r="Q66" s="693">
        <f>ROUND(Q65*$B55,2)</f>
        <v>0</v>
      </c>
      <c r="R66" s="695">
        <f>ROUND(R65*Q55,2)</f>
        <v>0</v>
      </c>
      <c r="S66" s="695">
        <f>ROUND(S65*Q55,2)</f>
        <v>0</v>
      </c>
      <c r="U66" s="1063"/>
      <c r="V66" s="1064"/>
      <c r="W66" s="1066"/>
      <c r="X66" s="1066"/>
      <c r="Z66" s="1063"/>
      <c r="AA66" s="1064"/>
      <c r="AB66" s="1066"/>
      <c r="AC66" s="1066"/>
      <c r="AE66" s="1063"/>
      <c r="AF66" s="1064"/>
      <c r="AG66" s="1066"/>
      <c r="AH66" s="1066"/>
      <c r="AJ66" s="1063"/>
      <c r="AK66" s="1064"/>
      <c r="AL66" s="1066"/>
      <c r="AM66" s="1066"/>
      <c r="AO66" s="1063"/>
      <c r="AP66" s="1064"/>
      <c r="AQ66" s="1066"/>
      <c r="AR66" s="1066"/>
    </row>
    <row r="67" spans="1:44" ht="16" thickBot="1">
      <c r="A67" s="668"/>
      <c r="B67" s="668"/>
      <c r="C67" s="668"/>
      <c r="D67" s="668"/>
      <c r="E67" s="668"/>
      <c r="F67" s="668"/>
      <c r="G67" s="668"/>
      <c r="H67" s="668"/>
      <c r="I67" s="668"/>
      <c r="J67" s="668"/>
      <c r="K67" s="668"/>
      <c r="L67" s="668"/>
      <c r="M67" s="668"/>
      <c r="N67" s="668"/>
      <c r="O67" s="668"/>
      <c r="P67" s="668"/>
      <c r="Q67" s="668"/>
      <c r="R67" s="668"/>
      <c r="S67" s="668"/>
      <c r="U67" s="668"/>
      <c r="V67" s="668"/>
      <c r="W67" s="668"/>
      <c r="X67" s="668"/>
      <c r="Z67" s="668"/>
      <c r="AA67" s="668"/>
      <c r="AB67" s="668"/>
      <c r="AC67" s="668"/>
      <c r="AE67" s="668"/>
      <c r="AF67" s="668"/>
      <c r="AG67" s="668"/>
      <c r="AH67" s="668"/>
      <c r="AJ67" s="668"/>
      <c r="AK67" s="668"/>
      <c r="AL67" s="668"/>
      <c r="AM67" s="668"/>
      <c r="AO67" s="668"/>
      <c r="AP67" s="668"/>
      <c r="AQ67" s="668"/>
      <c r="AR67" s="668"/>
    </row>
    <row r="68" spans="1:44" ht="16" thickBot="1">
      <c r="A68" s="668"/>
      <c r="B68" s="668"/>
      <c r="C68" s="674" t="s">
        <v>754</v>
      </c>
      <c r="D68" s="675"/>
      <c r="E68" s="668"/>
      <c r="F68" s="668"/>
      <c r="G68" s="668"/>
      <c r="H68" s="674" t="s">
        <v>754</v>
      </c>
      <c r="I68" s="675"/>
      <c r="J68" s="668"/>
      <c r="K68" s="668"/>
      <c r="L68" s="668"/>
      <c r="M68" s="674" t="s">
        <v>754</v>
      </c>
      <c r="N68" s="675"/>
      <c r="O68" s="668"/>
      <c r="P68" s="668"/>
      <c r="Q68" s="668"/>
      <c r="R68" s="674" t="s">
        <v>754</v>
      </c>
      <c r="S68" s="675"/>
      <c r="U68" s="668"/>
      <c r="V68" s="668"/>
      <c r="W68" s="698"/>
      <c r="X68" s="698"/>
      <c r="Z68" s="668"/>
      <c r="AA68" s="668"/>
      <c r="AB68" s="698"/>
      <c r="AC68" s="698"/>
      <c r="AE68" s="668"/>
      <c r="AF68" s="668"/>
      <c r="AG68" s="698"/>
      <c r="AH68" s="698"/>
      <c r="AJ68" s="668"/>
      <c r="AK68" s="668"/>
      <c r="AL68" s="698"/>
      <c r="AM68" s="698"/>
      <c r="AO68" s="668"/>
      <c r="AP68" s="668"/>
      <c r="AQ68" s="698"/>
      <c r="AR68" s="698"/>
    </row>
    <row r="69" spans="1:44" s="677" customFormat="1" ht="32">
      <c r="A69" s="676" t="s">
        <v>772</v>
      </c>
      <c r="B69" s="1172" t="s">
        <v>18</v>
      </c>
      <c r="C69" s="1174">
        <f>'Blumhouse Inputs'!E27</f>
        <v>0</v>
      </c>
      <c r="D69" s="1172"/>
      <c r="E69" s="1179"/>
      <c r="F69" s="676" t="s">
        <v>772</v>
      </c>
      <c r="G69" s="1172" t="s">
        <v>18</v>
      </c>
      <c r="H69" s="1176">
        <f>'Blumhouse Inputs'!E40</f>
        <v>0</v>
      </c>
      <c r="I69" s="1172"/>
      <c r="J69" s="1179"/>
      <c r="K69" s="676" t="s">
        <v>772</v>
      </c>
      <c r="L69" s="1172" t="s">
        <v>18</v>
      </c>
      <c r="M69" s="1174">
        <f>'Blumhouse Inputs'!E53</f>
        <v>0</v>
      </c>
      <c r="N69" s="1172"/>
      <c r="O69" s="1180"/>
      <c r="P69" s="676" t="s">
        <v>772</v>
      </c>
      <c r="Q69" s="1172" t="s">
        <v>18</v>
      </c>
      <c r="R69" s="1174">
        <f>'Blumhouse Inputs'!E66</f>
        <v>0</v>
      </c>
      <c r="S69" s="1172"/>
      <c r="U69" s="1057"/>
      <c r="V69" s="1181"/>
      <c r="W69" s="1182"/>
      <c r="X69" s="1181"/>
      <c r="Z69" s="1057"/>
      <c r="AA69" s="1181"/>
      <c r="AB69" s="1182"/>
      <c r="AC69" s="1181"/>
      <c r="AE69" s="1057"/>
      <c r="AF69" s="1181"/>
      <c r="AG69" s="1182"/>
      <c r="AH69" s="1181"/>
      <c r="AJ69" s="1057"/>
      <c r="AK69" s="1181"/>
      <c r="AL69" s="1182"/>
      <c r="AM69" s="1181"/>
      <c r="AO69" s="1057"/>
      <c r="AP69" s="1181"/>
      <c r="AQ69" s="1182"/>
      <c r="AR69" s="1181"/>
    </row>
    <row r="70" spans="1:44" s="677" customFormat="1" ht="16" thickBot="1">
      <c r="A70" s="678" t="s">
        <v>773</v>
      </c>
      <c r="B70" s="1173"/>
      <c r="C70" s="1175"/>
      <c r="D70" s="1173"/>
      <c r="E70" s="1179"/>
      <c r="F70" s="678" t="s">
        <v>773</v>
      </c>
      <c r="G70" s="1173"/>
      <c r="H70" s="1177"/>
      <c r="I70" s="1173"/>
      <c r="J70" s="1179"/>
      <c r="K70" s="678" t="s">
        <v>773</v>
      </c>
      <c r="L70" s="1173"/>
      <c r="M70" s="1175"/>
      <c r="N70" s="1173"/>
      <c r="O70" s="1180"/>
      <c r="P70" s="678" t="s">
        <v>773</v>
      </c>
      <c r="Q70" s="1173"/>
      <c r="R70" s="1175"/>
      <c r="S70" s="1173"/>
      <c r="U70" s="1058"/>
      <c r="V70" s="1181"/>
      <c r="W70" s="1183"/>
      <c r="X70" s="1181"/>
      <c r="Z70" s="1058"/>
      <c r="AA70" s="1181"/>
      <c r="AB70" s="1183"/>
      <c r="AC70" s="1181"/>
      <c r="AE70" s="1058"/>
      <c r="AF70" s="1181"/>
      <c r="AG70" s="1183"/>
      <c r="AH70" s="1181"/>
      <c r="AJ70" s="1058"/>
      <c r="AK70" s="1181"/>
      <c r="AL70" s="1183"/>
      <c r="AM70" s="1181"/>
      <c r="AO70" s="1058"/>
      <c r="AP70" s="1181"/>
      <c r="AQ70" s="1183"/>
      <c r="AR70" s="1181"/>
    </row>
    <row r="71" spans="1:44" ht="16" thickBot="1">
      <c r="A71" s="679" t="s">
        <v>759</v>
      </c>
      <c r="B71" s="681">
        <f>'Blumhouse Inputs'!I27</f>
        <v>0</v>
      </c>
      <c r="C71" s="681"/>
      <c r="D71" s="689"/>
      <c r="E71" s="668"/>
      <c r="F71" s="679" t="s">
        <v>759</v>
      </c>
      <c r="G71" s="681">
        <f>'Blumhouse Inputs'!I40</f>
        <v>0</v>
      </c>
      <c r="H71" s="681"/>
      <c r="I71" s="689"/>
      <c r="J71" s="668"/>
      <c r="K71" s="679" t="s">
        <v>759</v>
      </c>
      <c r="L71" s="681">
        <f>'Blumhouse Inputs'!I53</f>
        <v>0</v>
      </c>
      <c r="M71" s="681"/>
      <c r="N71" s="689"/>
      <c r="O71" s="668"/>
      <c r="P71" s="679" t="s">
        <v>759</v>
      </c>
      <c r="Q71" s="681">
        <f>'Blumhouse Inputs'!I66</f>
        <v>0</v>
      </c>
      <c r="R71" s="681"/>
      <c r="S71" s="689"/>
      <c r="U71" s="667"/>
      <c r="V71" s="698"/>
      <c r="W71" s="698"/>
      <c r="X71" s="697"/>
      <c r="Z71" s="667"/>
      <c r="AA71" s="698"/>
      <c r="AB71" s="698"/>
      <c r="AC71" s="697"/>
      <c r="AE71" s="667"/>
      <c r="AF71" s="698"/>
      <c r="AG71" s="698"/>
      <c r="AH71" s="697"/>
      <c r="AJ71" s="667"/>
      <c r="AK71" s="698"/>
      <c r="AL71" s="698"/>
      <c r="AM71" s="697"/>
      <c r="AO71" s="667"/>
      <c r="AP71" s="698"/>
      <c r="AQ71" s="698"/>
      <c r="AR71" s="697"/>
    </row>
    <row r="72" spans="1:44" ht="16" thickBot="1">
      <c r="A72" s="679" t="s">
        <v>774</v>
      </c>
      <c r="B72" s="681">
        <f>'Blumhouse Inputs'!M27</f>
        <v>0</v>
      </c>
      <c r="C72" s="681"/>
      <c r="D72" s="681"/>
      <c r="E72" s="668"/>
      <c r="F72" s="679" t="s">
        <v>774</v>
      </c>
      <c r="G72" s="681">
        <f>'Blumhouse Inputs'!M40</f>
        <v>0</v>
      </c>
      <c r="H72" s="681"/>
      <c r="I72" s="681"/>
      <c r="J72" s="668"/>
      <c r="K72" s="679" t="s">
        <v>774</v>
      </c>
      <c r="L72" s="681">
        <f>'Blumhouse Inputs'!M53</f>
        <v>0</v>
      </c>
      <c r="M72" s="681"/>
      <c r="N72" s="681"/>
      <c r="O72" s="668"/>
      <c r="P72" s="679" t="s">
        <v>774</v>
      </c>
      <c r="Q72" s="681">
        <f>'Blumhouse Inputs'!M66</f>
        <v>0</v>
      </c>
      <c r="R72" s="681"/>
      <c r="S72" s="681"/>
      <c r="U72" s="667"/>
      <c r="V72" s="698"/>
      <c r="W72" s="698"/>
      <c r="X72" s="698"/>
      <c r="Z72" s="667"/>
      <c r="AA72" s="698"/>
      <c r="AB72" s="698"/>
      <c r="AC72" s="698"/>
      <c r="AE72" s="667"/>
      <c r="AF72" s="698"/>
      <c r="AG72" s="698"/>
      <c r="AH72" s="698"/>
      <c r="AJ72" s="667"/>
      <c r="AK72" s="698"/>
      <c r="AL72" s="698"/>
      <c r="AM72" s="698"/>
      <c r="AO72" s="667"/>
      <c r="AP72" s="698"/>
      <c r="AQ72" s="698"/>
      <c r="AR72" s="698"/>
    </row>
    <row r="73" spans="1:44" ht="16" thickBot="1">
      <c r="A73" s="679" t="s">
        <v>762</v>
      </c>
      <c r="B73" s="680">
        <f>B71*B72</f>
        <v>0</v>
      </c>
      <c r="C73" s="681"/>
      <c r="D73" s="681"/>
      <c r="E73" s="668"/>
      <c r="F73" s="679" t="s">
        <v>762</v>
      </c>
      <c r="G73" s="680">
        <f>G71*G72</f>
        <v>0</v>
      </c>
      <c r="H73" s="681"/>
      <c r="I73" s="681"/>
      <c r="J73" s="668"/>
      <c r="K73" s="679" t="s">
        <v>762</v>
      </c>
      <c r="L73" s="680">
        <f>L71*L72</f>
        <v>0</v>
      </c>
      <c r="M73" s="681"/>
      <c r="N73" s="681"/>
      <c r="O73" s="668"/>
      <c r="P73" s="679" t="s">
        <v>762</v>
      </c>
      <c r="Q73" s="680">
        <f>Q71*Q72</f>
        <v>0</v>
      </c>
      <c r="R73" s="681"/>
      <c r="S73" s="681"/>
      <c r="U73" s="667"/>
      <c r="V73" s="696"/>
      <c r="W73" s="698"/>
      <c r="X73" s="698"/>
      <c r="Z73" s="667"/>
      <c r="AA73" s="696"/>
      <c r="AB73" s="698"/>
      <c r="AC73" s="698"/>
      <c r="AE73" s="667"/>
      <c r="AF73" s="696"/>
      <c r="AG73" s="698"/>
      <c r="AH73" s="698"/>
      <c r="AJ73" s="667"/>
      <c r="AK73" s="696"/>
      <c r="AL73" s="698"/>
      <c r="AM73" s="698"/>
      <c r="AO73" s="667"/>
      <c r="AP73" s="696"/>
      <c r="AQ73" s="698"/>
      <c r="AR73" s="698"/>
    </row>
    <row r="74" spans="1:44" ht="16" thickBot="1">
      <c r="A74" s="679" t="s">
        <v>763</v>
      </c>
      <c r="B74" s="689" t="e">
        <f>D77/B73</f>
        <v>#DIV/0!</v>
      </c>
      <c r="C74" s="681"/>
      <c r="D74" s="689"/>
      <c r="E74" s="668"/>
      <c r="F74" s="679" t="s">
        <v>763</v>
      </c>
      <c r="G74" s="689" t="e">
        <f>I77/G73</f>
        <v>#DIV/0!</v>
      </c>
      <c r="H74" s="681"/>
      <c r="I74" s="689"/>
      <c r="J74" s="668"/>
      <c r="K74" s="679" t="s">
        <v>763</v>
      </c>
      <c r="L74" s="689" t="e">
        <f>N77/L73</f>
        <v>#DIV/0!</v>
      </c>
      <c r="M74" s="681"/>
      <c r="N74" s="689"/>
      <c r="O74" s="668"/>
      <c r="P74" s="679" t="s">
        <v>763</v>
      </c>
      <c r="Q74" s="689" t="e">
        <f>S77/Q73</f>
        <v>#DIV/0!</v>
      </c>
      <c r="R74" s="681"/>
      <c r="S74" s="689"/>
      <c r="U74" s="667"/>
      <c r="V74" s="697"/>
      <c r="W74" s="698"/>
      <c r="X74" s="697"/>
      <c r="Z74" s="667"/>
      <c r="AA74" s="697"/>
      <c r="AB74" s="698"/>
      <c r="AC74" s="697"/>
      <c r="AE74" s="667"/>
      <c r="AF74" s="697"/>
      <c r="AG74" s="698"/>
      <c r="AH74" s="697"/>
      <c r="AJ74" s="667"/>
      <c r="AK74" s="697"/>
      <c r="AL74" s="698"/>
      <c r="AM74" s="697"/>
      <c r="AO74" s="667"/>
      <c r="AP74" s="697"/>
      <c r="AQ74" s="698"/>
      <c r="AR74" s="697"/>
    </row>
    <row r="75" spans="1:44" ht="16" thickBot="1">
      <c r="A75" s="690"/>
      <c r="B75" s="691" t="s">
        <v>250</v>
      </c>
      <c r="C75" s="691" t="s">
        <v>764</v>
      </c>
      <c r="D75" s="691" t="s">
        <v>18</v>
      </c>
      <c r="E75" s="668"/>
      <c r="F75" s="690"/>
      <c r="G75" s="691" t="s">
        <v>250</v>
      </c>
      <c r="H75" s="691" t="s">
        <v>764</v>
      </c>
      <c r="I75" s="691" t="s">
        <v>18</v>
      </c>
      <c r="J75" s="668"/>
      <c r="K75" s="690"/>
      <c r="L75" s="691" t="s">
        <v>250</v>
      </c>
      <c r="M75" s="691" t="s">
        <v>764</v>
      </c>
      <c r="N75" s="691" t="s">
        <v>18</v>
      </c>
      <c r="O75" s="668"/>
      <c r="P75" s="690"/>
      <c r="Q75" s="691" t="s">
        <v>250</v>
      </c>
      <c r="R75" s="691" t="s">
        <v>764</v>
      </c>
      <c r="S75" s="691" t="s">
        <v>18</v>
      </c>
      <c r="U75" s="1060"/>
      <c r="V75" s="1062"/>
      <c r="W75" s="1062"/>
      <c r="X75" s="1062"/>
      <c r="Z75" s="1060"/>
      <c r="AA75" s="1062"/>
      <c r="AB75" s="1062"/>
      <c r="AC75" s="1062"/>
      <c r="AE75" s="1060"/>
      <c r="AF75" s="1062"/>
      <c r="AG75" s="1062"/>
      <c r="AH75" s="1062"/>
      <c r="AJ75" s="1060"/>
      <c r="AK75" s="1062"/>
      <c r="AL75" s="1062"/>
      <c r="AM75" s="1062"/>
      <c r="AO75" s="1060"/>
      <c r="AP75" s="1062"/>
      <c r="AQ75" s="1062"/>
      <c r="AR75" s="1062"/>
    </row>
    <row r="76" spans="1:44" ht="16" thickBot="1">
      <c r="A76" s="692" t="s">
        <v>765</v>
      </c>
      <c r="B76" s="693">
        <f>ROUND(C76*$B$89,2)</f>
        <v>0</v>
      </c>
      <c r="C76" s="694">
        <f>C69</f>
        <v>0</v>
      </c>
      <c r="D76" s="694">
        <f>C69</f>
        <v>0</v>
      </c>
      <c r="E76" s="668"/>
      <c r="F76" s="692" t="s">
        <v>765</v>
      </c>
      <c r="G76" s="693">
        <f>ROUND(H76*$B$89,2)</f>
        <v>0</v>
      </c>
      <c r="H76" s="694">
        <f>H69</f>
        <v>0</v>
      </c>
      <c r="I76" s="694">
        <f>H69</f>
        <v>0</v>
      </c>
      <c r="J76" s="668"/>
      <c r="K76" s="692" t="s">
        <v>765</v>
      </c>
      <c r="L76" s="693">
        <f>ROUND(M76*$B$89,2)</f>
        <v>0</v>
      </c>
      <c r="M76" s="694">
        <f>M69</f>
        <v>0</v>
      </c>
      <c r="N76" s="694">
        <f>M69</f>
        <v>0</v>
      </c>
      <c r="O76" s="668"/>
      <c r="P76" s="692" t="s">
        <v>765</v>
      </c>
      <c r="Q76" s="693">
        <f>ROUND(R76*$B$89,2)</f>
        <v>0</v>
      </c>
      <c r="R76" s="694">
        <f>R69</f>
        <v>0</v>
      </c>
      <c r="S76" s="694">
        <f>R69</f>
        <v>0</v>
      </c>
      <c r="U76" s="1063"/>
      <c r="V76" s="1064"/>
      <c r="W76" s="1065"/>
      <c r="X76" s="1065"/>
      <c r="Z76" s="1063"/>
      <c r="AA76" s="1064"/>
      <c r="AB76" s="1065"/>
      <c r="AC76" s="1065"/>
      <c r="AE76" s="1063"/>
      <c r="AF76" s="1064"/>
      <c r="AG76" s="1065"/>
      <c r="AH76" s="1065"/>
      <c r="AJ76" s="1063"/>
      <c r="AK76" s="1064"/>
      <c r="AL76" s="1065"/>
      <c r="AM76" s="1065"/>
      <c r="AO76" s="1063"/>
      <c r="AP76" s="1064"/>
      <c r="AQ76" s="1065"/>
      <c r="AR76" s="1065"/>
    </row>
    <row r="77" spans="1:44" ht="16" thickBot="1">
      <c r="A77" s="692" t="s">
        <v>767</v>
      </c>
      <c r="B77" s="693">
        <f>ROUND(B76*B71,2)</f>
        <v>0</v>
      </c>
      <c r="C77" s="694">
        <f>ROUND(C76*B71,2)</f>
        <v>0</v>
      </c>
      <c r="D77" s="694">
        <f>ROUND(D76*B71,2)</f>
        <v>0</v>
      </c>
      <c r="E77" s="668"/>
      <c r="F77" s="692" t="s">
        <v>767</v>
      </c>
      <c r="G77" s="693">
        <f>ROUND(G76*G71,2)</f>
        <v>0</v>
      </c>
      <c r="H77" s="694">
        <f>ROUND(H76*G71,2)</f>
        <v>0</v>
      </c>
      <c r="I77" s="694">
        <f>ROUND(I76*G71,2)</f>
        <v>0</v>
      </c>
      <c r="J77" s="668"/>
      <c r="K77" s="692" t="s">
        <v>767</v>
      </c>
      <c r="L77" s="693">
        <f>ROUND(L76*L71,2)</f>
        <v>0</v>
      </c>
      <c r="M77" s="694">
        <f>ROUND(M76*L71,2)</f>
        <v>0</v>
      </c>
      <c r="N77" s="694">
        <f>ROUND(N76*L71,2)</f>
        <v>0</v>
      </c>
      <c r="O77" s="668"/>
      <c r="P77" s="692" t="s">
        <v>767</v>
      </c>
      <c r="Q77" s="693">
        <f>ROUND(Q76*Q71,2)</f>
        <v>0</v>
      </c>
      <c r="R77" s="694">
        <f>ROUND(R76*Q71,2)</f>
        <v>0</v>
      </c>
      <c r="S77" s="694">
        <f>ROUND(S76*Q71,2)</f>
        <v>0</v>
      </c>
      <c r="U77" s="1063"/>
      <c r="V77" s="1064"/>
      <c r="W77" s="1065"/>
      <c r="X77" s="1065"/>
      <c r="Z77" s="1063"/>
      <c r="AA77" s="1064"/>
      <c r="AB77" s="1065"/>
      <c r="AC77" s="1065"/>
      <c r="AE77" s="1063"/>
      <c r="AF77" s="1064"/>
      <c r="AG77" s="1065"/>
      <c r="AH77" s="1065"/>
      <c r="AJ77" s="1063"/>
      <c r="AK77" s="1064"/>
      <c r="AL77" s="1065"/>
      <c r="AM77" s="1065"/>
      <c r="AO77" s="1063"/>
      <c r="AP77" s="1064"/>
      <c r="AQ77" s="1065"/>
      <c r="AR77" s="1065"/>
    </row>
    <row r="78" spans="1:44">
      <c r="A78" s="668"/>
      <c r="B78" s="668"/>
      <c r="C78" s="668"/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668"/>
      <c r="P78" s="668"/>
      <c r="Q78" s="668"/>
      <c r="R78" s="668"/>
      <c r="S78" s="668"/>
      <c r="U78" s="668"/>
      <c r="V78" s="668"/>
      <c r="W78" s="668"/>
      <c r="X78" s="668"/>
      <c r="Z78" s="668"/>
      <c r="AA78" s="668"/>
      <c r="AB78" s="668"/>
      <c r="AC78" s="668"/>
      <c r="AE78" s="668"/>
      <c r="AF78" s="668"/>
      <c r="AG78" s="668"/>
      <c r="AH78" s="668"/>
      <c r="AJ78" s="668"/>
      <c r="AK78" s="668"/>
      <c r="AL78" s="668"/>
      <c r="AM78" s="668"/>
      <c r="AO78" s="668"/>
      <c r="AP78" s="668"/>
      <c r="AQ78" s="668"/>
      <c r="AR78" s="668"/>
    </row>
    <row r="79" spans="1:44">
      <c r="A79" s="668" t="s">
        <v>149</v>
      </c>
      <c r="B79" s="696">
        <f>B13+B29+B45+B61+B73</f>
        <v>1680000</v>
      </c>
      <c r="C79" s="668"/>
      <c r="D79" s="697"/>
      <c r="E79" s="668"/>
      <c r="F79" s="668" t="s">
        <v>149</v>
      </c>
      <c r="G79" s="696">
        <f>G13+G29+G45+G61+G73</f>
        <v>1216000</v>
      </c>
      <c r="H79" s="668"/>
      <c r="I79" s="697"/>
      <c r="J79" s="668"/>
      <c r="K79" s="668" t="s">
        <v>149</v>
      </c>
      <c r="L79" s="696">
        <f>L13+L29+L45+L61+L73</f>
        <v>1216000</v>
      </c>
      <c r="M79" s="668"/>
      <c r="N79" s="697"/>
      <c r="O79" s="668"/>
      <c r="P79" s="668" t="s">
        <v>149</v>
      </c>
      <c r="Q79" s="696">
        <f>Q13+Q29+Q45+Q61+Q73</f>
        <v>1216000</v>
      </c>
      <c r="R79" s="668"/>
      <c r="S79" s="697"/>
      <c r="U79" s="668"/>
      <c r="V79" s="696"/>
      <c r="W79" s="668"/>
      <c r="X79" s="697"/>
      <c r="Z79" s="668"/>
      <c r="AA79" s="696"/>
      <c r="AB79" s="668"/>
      <c r="AC79" s="697"/>
      <c r="AE79" s="668"/>
      <c r="AF79" s="696"/>
      <c r="AG79" s="668"/>
      <c r="AH79" s="697"/>
      <c r="AJ79" s="668"/>
      <c r="AK79" s="696"/>
      <c r="AL79" s="668"/>
      <c r="AM79" s="697"/>
      <c r="AO79" s="668"/>
      <c r="AP79" s="696"/>
      <c r="AQ79" s="668"/>
      <c r="AR79" s="697"/>
    </row>
    <row r="80" spans="1:44">
      <c r="A80" s="668" t="s">
        <v>761</v>
      </c>
      <c r="B80" s="696">
        <f>B12+B28+B44+B60</f>
        <v>384000</v>
      </c>
      <c r="C80" s="668"/>
      <c r="D80" s="697"/>
      <c r="E80" s="668"/>
      <c r="F80" s="668" t="s">
        <v>761</v>
      </c>
      <c r="G80" s="696">
        <f>G12+G28+G44+G60</f>
        <v>275200</v>
      </c>
      <c r="H80" s="668"/>
      <c r="I80" s="697"/>
      <c r="J80" s="668"/>
      <c r="K80" s="668" t="s">
        <v>761</v>
      </c>
      <c r="L80" s="696">
        <f>L12+L28+L44+L60</f>
        <v>275200</v>
      </c>
      <c r="M80" s="668"/>
      <c r="N80" s="697"/>
      <c r="O80" s="668"/>
      <c r="P80" s="668" t="s">
        <v>761</v>
      </c>
      <c r="Q80" s="696">
        <f>Q12+Q28+Q44+Q60</f>
        <v>275200</v>
      </c>
      <c r="R80" s="668"/>
      <c r="S80" s="697"/>
      <c r="U80" s="668"/>
      <c r="V80" s="696"/>
      <c r="W80" s="668"/>
      <c r="X80" s="697"/>
      <c r="Z80" s="668"/>
      <c r="AA80" s="696"/>
      <c r="AB80" s="668"/>
      <c r="AC80" s="697"/>
      <c r="AE80" s="668"/>
      <c r="AF80" s="696"/>
      <c r="AG80" s="668"/>
      <c r="AH80" s="697"/>
      <c r="AJ80" s="668"/>
      <c r="AK80" s="696"/>
      <c r="AL80" s="668"/>
      <c r="AM80" s="697"/>
      <c r="AO80" s="668"/>
      <c r="AP80" s="696"/>
      <c r="AQ80" s="668"/>
      <c r="AR80" s="697"/>
    </row>
    <row r="81" spans="1:68">
      <c r="A81" s="668" t="s">
        <v>144</v>
      </c>
      <c r="B81" s="696">
        <f>B9+B41+B25+B57+B71</f>
        <v>42000</v>
      </c>
      <c r="C81" s="668"/>
      <c r="D81" s="697"/>
      <c r="E81" s="668"/>
      <c r="F81" s="668" t="s">
        <v>144</v>
      </c>
      <c r="G81" s="696">
        <f>G9+G41+G25+G57+G71</f>
        <v>29600</v>
      </c>
      <c r="H81" s="668"/>
      <c r="I81" s="697"/>
      <c r="J81" s="668"/>
      <c r="K81" s="668" t="s">
        <v>144</v>
      </c>
      <c r="L81" s="696">
        <f>L9+L41+L25+L57+L71</f>
        <v>29600</v>
      </c>
      <c r="M81" s="668"/>
      <c r="N81" s="697"/>
      <c r="O81" s="668"/>
      <c r="P81" s="668" t="s">
        <v>144</v>
      </c>
      <c r="Q81" s="696">
        <f>Q9+Q41+Q25+Q57+Q71</f>
        <v>29600</v>
      </c>
      <c r="R81" s="668"/>
      <c r="S81" s="697"/>
      <c r="U81" s="668"/>
      <c r="V81" s="696"/>
      <c r="W81" s="668"/>
      <c r="X81" s="697"/>
      <c r="Z81" s="668"/>
      <c r="AA81" s="696"/>
      <c r="AB81" s="668"/>
      <c r="AC81" s="697"/>
      <c r="AE81" s="668"/>
      <c r="AF81" s="696"/>
      <c r="AG81" s="668"/>
      <c r="AH81" s="697"/>
      <c r="AJ81" s="668"/>
      <c r="AK81" s="696"/>
      <c r="AL81" s="668"/>
      <c r="AM81" s="697"/>
      <c r="AO81" s="668"/>
      <c r="AP81" s="696"/>
      <c r="AQ81" s="668"/>
      <c r="AR81" s="697"/>
    </row>
    <row r="82" spans="1:68">
      <c r="A82" s="668" t="s">
        <v>140</v>
      </c>
      <c r="B82" s="696">
        <f>B7+B23+B39+B55</f>
        <v>1750</v>
      </c>
      <c r="C82" s="668"/>
      <c r="D82" s="698"/>
      <c r="E82" s="668"/>
      <c r="F82" s="668" t="s">
        <v>140</v>
      </c>
      <c r="G82" s="696">
        <f>G7+G23+G39+G55</f>
        <v>1300</v>
      </c>
      <c r="H82" s="668"/>
      <c r="I82" s="698"/>
      <c r="J82" s="668"/>
      <c r="K82" s="668" t="s">
        <v>140</v>
      </c>
      <c r="L82" s="696">
        <f>L7+L23+L39+L55</f>
        <v>1300</v>
      </c>
      <c r="M82" s="668"/>
      <c r="N82" s="698"/>
      <c r="O82" s="668"/>
      <c r="P82" s="668" t="s">
        <v>140</v>
      </c>
      <c r="Q82" s="696">
        <f>Q7+Q23+Q39+Q55</f>
        <v>1300</v>
      </c>
      <c r="U82" s="668"/>
      <c r="V82" s="696"/>
      <c r="Z82" s="668"/>
      <c r="AA82" s="696"/>
      <c r="AE82" s="668"/>
      <c r="AF82" s="696"/>
      <c r="AJ82" s="668"/>
      <c r="AK82" s="696"/>
      <c r="AO82" s="668"/>
      <c r="AP82" s="696"/>
    </row>
    <row r="83" spans="1:68" ht="16" thickBot="1"/>
    <row r="84" spans="1:68">
      <c r="A84" s="573"/>
      <c r="B84" s="574"/>
      <c r="C84" s="574"/>
      <c r="D84" s="575"/>
      <c r="F84" s="573"/>
      <c r="G84" s="574"/>
      <c r="H84" s="574"/>
      <c r="I84" s="575"/>
      <c r="K84" s="573"/>
      <c r="L84" s="574"/>
      <c r="M84" s="574"/>
      <c r="N84" s="575"/>
      <c r="P84" s="573"/>
      <c r="Q84" s="574"/>
      <c r="R84" s="574"/>
      <c r="S84" s="575"/>
      <c r="U84" s="1067"/>
      <c r="V84" s="1068"/>
      <c r="W84" s="1068"/>
      <c r="X84" s="1069"/>
      <c r="Z84" s="1067"/>
      <c r="AA84" s="1068"/>
      <c r="AB84" s="1068"/>
      <c r="AC84" s="1069"/>
      <c r="AE84" s="1067"/>
      <c r="AF84" s="1068"/>
      <c r="AG84" s="1068"/>
      <c r="AH84" s="1069"/>
      <c r="AJ84" s="1067"/>
      <c r="AK84" s="1068"/>
      <c r="AL84" s="1068"/>
      <c r="AM84" s="1069"/>
      <c r="AO84" s="1067"/>
      <c r="AP84" s="1068"/>
      <c r="AQ84" s="1068"/>
      <c r="AR84" s="1069"/>
    </row>
    <row r="85" spans="1:68">
      <c r="A85" s="576" t="s">
        <v>18</v>
      </c>
      <c r="B85" s="577"/>
      <c r="C85" s="699">
        <f>D18+D34+D50+D66+D77</f>
        <v>2549580</v>
      </c>
      <c r="D85" s="579"/>
      <c r="F85" s="576" t="s">
        <v>18</v>
      </c>
      <c r="G85" s="577"/>
      <c r="H85" s="699">
        <f>I18+I34+I50+I66+I77</f>
        <v>1939704</v>
      </c>
      <c r="I85" s="579"/>
      <c r="K85" s="576" t="s">
        <v>18</v>
      </c>
      <c r="L85" s="577"/>
      <c r="M85" s="699">
        <f>N18+N34+N50+N66+N77</f>
        <v>1939704</v>
      </c>
      <c r="N85" s="579"/>
      <c r="P85" s="576" t="s">
        <v>18</v>
      </c>
      <c r="Q85" s="577"/>
      <c r="R85" s="699">
        <f>S18+S34+S50+S66+S77</f>
        <v>1939704</v>
      </c>
      <c r="S85" s="579"/>
      <c r="U85" s="1070"/>
      <c r="V85" s="1071"/>
      <c r="W85" s="1072"/>
      <c r="X85" s="1073"/>
      <c r="Z85" s="1070"/>
      <c r="AA85" s="1071"/>
      <c r="AB85" s="1072"/>
      <c r="AC85" s="1073"/>
      <c r="AE85" s="1070"/>
      <c r="AF85" s="1071"/>
      <c r="AG85" s="1072"/>
      <c r="AH85" s="1073"/>
      <c r="AJ85" s="1070"/>
      <c r="AK85" s="1071"/>
      <c r="AL85" s="1072"/>
      <c r="AM85" s="1073"/>
      <c r="AO85" s="1070"/>
      <c r="AP85" s="1071"/>
      <c r="AQ85" s="1072"/>
      <c r="AR85" s="1073"/>
    </row>
    <row r="86" spans="1:68">
      <c r="A86" s="580" t="s">
        <v>728</v>
      </c>
      <c r="B86" s="700">
        <f>C86/C85</f>
        <v>0.5705959412922913</v>
      </c>
      <c r="C86" s="701">
        <f>C18+C34+C50+C66+C77</f>
        <v>1454780</v>
      </c>
      <c r="D86" s="579"/>
      <c r="F86" s="580" t="s">
        <v>728</v>
      </c>
      <c r="G86" s="700">
        <f>H86/H85</f>
        <v>0.57423400683815673</v>
      </c>
      <c r="H86" s="701">
        <f>H18+H34+H50+H66+H77</f>
        <v>1113844</v>
      </c>
      <c r="I86" s="579"/>
      <c r="K86" s="580" t="s">
        <v>728</v>
      </c>
      <c r="L86" s="700">
        <f>M86/M85</f>
        <v>0.57423400683815673</v>
      </c>
      <c r="M86" s="701">
        <f>M18+M34+M50+M66+M77</f>
        <v>1113844</v>
      </c>
      <c r="N86" s="579"/>
      <c r="P86" s="580" t="s">
        <v>728</v>
      </c>
      <c r="Q86" s="700">
        <f>L86</f>
        <v>0.57423400683815673</v>
      </c>
      <c r="R86" s="701">
        <f>R18+R34+R50+R66+R77</f>
        <v>1113844</v>
      </c>
      <c r="S86" s="579"/>
      <c r="U86" s="1074"/>
      <c r="V86" s="1075"/>
      <c r="W86" s="1076"/>
      <c r="X86" s="1073"/>
      <c r="Z86" s="1074"/>
      <c r="AA86" s="1075"/>
      <c r="AB86" s="1076"/>
      <c r="AC86" s="1073"/>
      <c r="AE86" s="1074"/>
      <c r="AF86" s="1075"/>
      <c r="AG86" s="1076"/>
      <c r="AH86" s="1073"/>
      <c r="AJ86" s="1074"/>
      <c r="AK86" s="1075"/>
      <c r="AL86" s="1076"/>
      <c r="AM86" s="1073"/>
      <c r="AO86" s="1074"/>
      <c r="AP86" s="1075"/>
      <c r="AQ86" s="1076"/>
      <c r="AR86" s="1073"/>
    </row>
    <row r="87" spans="1:68">
      <c r="A87" s="580" t="s">
        <v>870</v>
      </c>
      <c r="B87" s="700">
        <f>'Ted Inputs'!G12</f>
        <v>0.05</v>
      </c>
      <c r="C87" s="701">
        <f>-ROUND(C86*B87,2)</f>
        <v>-72739</v>
      </c>
      <c r="D87" s="579"/>
      <c r="F87" s="580" t="s">
        <v>870</v>
      </c>
      <c r="G87" s="700">
        <f>'Ted Inputs'!G12</f>
        <v>0.05</v>
      </c>
      <c r="H87" s="701">
        <f>-ROUND(H86*G87,2)</f>
        <v>-55692.2</v>
      </c>
      <c r="I87" s="579"/>
      <c r="K87" s="580" t="s">
        <v>870</v>
      </c>
      <c r="L87" s="700">
        <f>B87</f>
        <v>0.05</v>
      </c>
      <c r="M87" s="701">
        <f>-ROUND(M86*L87,2)</f>
        <v>-55692.2</v>
      </c>
      <c r="N87" s="579"/>
      <c r="P87" s="580" t="s">
        <v>870</v>
      </c>
      <c r="Q87" s="700">
        <f>L87</f>
        <v>0.05</v>
      </c>
      <c r="R87" s="701">
        <f>-ROUND(R86*Q87,2)</f>
        <v>-55692.2</v>
      </c>
      <c r="S87" s="579"/>
      <c r="U87" s="1074"/>
      <c r="V87" s="1075"/>
      <c r="W87" s="1076"/>
      <c r="X87" s="1073"/>
      <c r="Z87" s="1074"/>
      <c r="AA87" s="1075"/>
      <c r="AB87" s="1076"/>
      <c r="AC87" s="1073"/>
      <c r="AE87" s="1074"/>
      <c r="AF87" s="1075"/>
      <c r="AG87" s="1076"/>
      <c r="AH87" s="1073"/>
      <c r="AJ87" s="1074"/>
      <c r="AK87" s="1075"/>
      <c r="AL87" s="1076"/>
      <c r="AM87" s="1073"/>
      <c r="AO87" s="1074"/>
      <c r="AP87" s="1075"/>
      <c r="AQ87" s="1076"/>
      <c r="AR87" s="1073"/>
    </row>
    <row r="88" spans="1:68">
      <c r="A88" s="580" t="s">
        <v>730</v>
      </c>
      <c r="B88" s="700"/>
      <c r="C88" s="702">
        <f>C86+C87</f>
        <v>1382041</v>
      </c>
      <c r="D88" s="579"/>
      <c r="F88" s="580" t="s">
        <v>730</v>
      </c>
      <c r="G88" s="700"/>
      <c r="H88" s="702">
        <f>H86+H87</f>
        <v>1058151.8</v>
      </c>
      <c r="I88" s="579"/>
      <c r="K88" s="580" t="s">
        <v>730</v>
      </c>
      <c r="L88" s="700"/>
      <c r="M88" s="702">
        <f>M86+M87</f>
        <v>1058151.8</v>
      </c>
      <c r="N88" s="579"/>
      <c r="P88" s="580" t="s">
        <v>730</v>
      </c>
      <c r="Q88" s="700"/>
      <c r="R88" s="702">
        <f>R86+R87</f>
        <v>1058151.8</v>
      </c>
      <c r="S88" s="579"/>
      <c r="U88" s="1074"/>
      <c r="V88" s="1075"/>
      <c r="W88" s="1077"/>
      <c r="X88" s="1073"/>
      <c r="Z88" s="1074"/>
      <c r="AA88" s="1075"/>
      <c r="AB88" s="1077"/>
      <c r="AC88" s="1073"/>
      <c r="AE88" s="1074"/>
      <c r="AF88" s="1075"/>
      <c r="AG88" s="1077"/>
      <c r="AH88" s="1073"/>
      <c r="AJ88" s="1074"/>
      <c r="AK88" s="1075"/>
      <c r="AL88" s="1077"/>
      <c r="AM88" s="1073"/>
      <c r="AO88" s="1074"/>
      <c r="AP88" s="1075"/>
      <c r="AQ88" s="1077"/>
      <c r="AR88" s="1073"/>
    </row>
    <row r="89" spans="1:68">
      <c r="A89" s="580" t="s">
        <v>729</v>
      </c>
      <c r="B89" s="700">
        <f>'Ted Inputs'!G14</f>
        <v>0.5</v>
      </c>
      <c r="C89" s="701">
        <f>-ROUND(C88*B89,2)</f>
        <v>-691020.5</v>
      </c>
      <c r="D89" s="584"/>
      <c r="F89" s="580" t="s">
        <v>729</v>
      </c>
      <c r="G89" s="700">
        <f>'Ted Inputs'!G14</f>
        <v>0.5</v>
      </c>
      <c r="H89" s="701">
        <f>-ROUND(H88*G89,2)</f>
        <v>-529075.9</v>
      </c>
      <c r="I89" s="584"/>
      <c r="K89" s="580" t="s">
        <v>729</v>
      </c>
      <c r="L89" s="700">
        <f>B89</f>
        <v>0.5</v>
      </c>
      <c r="M89" s="701">
        <f>-ROUND(M88*L89,2)</f>
        <v>-529075.9</v>
      </c>
      <c r="N89" s="584"/>
      <c r="P89" s="580" t="s">
        <v>729</v>
      </c>
      <c r="Q89" s="700">
        <f>L89</f>
        <v>0.5</v>
      </c>
      <c r="R89" s="701">
        <f>-ROUND(R88*Q89,2)</f>
        <v>-529075.9</v>
      </c>
      <c r="S89" s="584"/>
      <c r="U89" s="1074"/>
      <c r="V89" s="1075"/>
      <c r="W89" s="1076"/>
      <c r="X89" s="1078"/>
      <c r="Z89" s="1074"/>
      <c r="AA89" s="1075"/>
      <c r="AB89" s="1076"/>
      <c r="AC89" s="1078"/>
      <c r="AE89" s="1074"/>
      <c r="AF89" s="1075"/>
      <c r="AG89" s="1076"/>
      <c r="AH89" s="1078"/>
      <c r="AJ89" s="1074"/>
      <c r="AK89" s="1075"/>
      <c r="AL89" s="1076"/>
      <c r="AM89" s="1078"/>
      <c r="AO89" s="1074"/>
      <c r="AP89" s="1075"/>
      <c r="AQ89" s="1076"/>
      <c r="AR89" s="1078"/>
    </row>
    <row r="90" spans="1:68" ht="16" thickBot="1">
      <c r="A90" s="580" t="s">
        <v>5</v>
      </c>
      <c r="B90" s="585"/>
      <c r="C90" s="703">
        <f>SUM(C88:C89)</f>
        <v>691020.5</v>
      </c>
      <c r="D90" s="579"/>
      <c r="F90" s="580" t="s">
        <v>5</v>
      </c>
      <c r="G90" s="585"/>
      <c r="H90" s="703">
        <f>SUM(H88:H89)</f>
        <v>529075.9</v>
      </c>
      <c r="I90" s="579"/>
      <c r="K90" s="580" t="s">
        <v>5</v>
      </c>
      <c r="L90" s="585"/>
      <c r="M90" s="703">
        <f>SUM(M88:M89)</f>
        <v>529075.9</v>
      </c>
      <c r="N90" s="579"/>
      <c r="P90" s="580" t="s">
        <v>5</v>
      </c>
      <c r="Q90" s="585"/>
      <c r="R90" s="703">
        <f>SUM(R88:R89)</f>
        <v>529075.9</v>
      </c>
      <c r="S90" s="579"/>
      <c r="U90" s="1074"/>
      <c r="V90" s="1079"/>
      <c r="W90" s="1080"/>
      <c r="X90" s="1073"/>
      <c r="Z90" s="1074"/>
      <c r="AA90" s="1079"/>
      <c r="AB90" s="1080"/>
      <c r="AC90" s="1073"/>
      <c r="AE90" s="1074"/>
      <c r="AF90" s="1079"/>
      <c r="AG90" s="1080"/>
      <c r="AH90" s="1073"/>
      <c r="AJ90" s="1074"/>
      <c r="AK90" s="1079"/>
      <c r="AL90" s="1080"/>
      <c r="AM90" s="1073"/>
      <c r="AO90" s="1074"/>
      <c r="AP90" s="1079"/>
      <c r="AQ90" s="1080"/>
      <c r="AR90" s="1073"/>
    </row>
    <row r="91" spans="1:68" ht="17" thickTop="1" thickBot="1">
      <c r="A91" s="587"/>
      <c r="B91" s="588"/>
      <c r="C91" s="588"/>
      <c r="D91" s="589"/>
      <c r="F91" s="587"/>
      <c r="G91" s="588"/>
      <c r="H91" s="588"/>
      <c r="I91" s="589"/>
      <c r="K91" s="587"/>
      <c r="L91" s="588"/>
      <c r="M91" s="588"/>
      <c r="N91" s="589"/>
      <c r="P91" s="587"/>
      <c r="Q91" s="588"/>
      <c r="R91" s="588"/>
      <c r="S91" s="589"/>
      <c r="U91" s="1081"/>
      <c r="V91" s="1082"/>
      <c r="W91" s="1082"/>
      <c r="X91" s="1083"/>
      <c r="Z91" s="1081"/>
      <c r="AA91" s="1082"/>
      <c r="AB91" s="1082"/>
      <c r="AC91" s="1083"/>
      <c r="AE91" s="1081"/>
      <c r="AF91" s="1082"/>
      <c r="AG91" s="1082"/>
      <c r="AH91" s="1083"/>
      <c r="AJ91" s="1081"/>
      <c r="AK91" s="1082"/>
      <c r="AL91" s="1082"/>
      <c r="AM91" s="1083"/>
      <c r="AO91" s="1081"/>
      <c r="AP91" s="1082"/>
      <c r="AQ91" s="1082"/>
      <c r="AR91" s="1083"/>
    </row>
    <row r="92" spans="1:68">
      <c r="A92" s="543"/>
      <c r="B92" s="556"/>
      <c r="C92" s="556"/>
      <c r="D92" s="543"/>
      <c r="F92" s="543"/>
      <c r="G92" s="556"/>
      <c r="H92" s="556"/>
      <c r="I92" s="543"/>
      <c r="K92" s="543"/>
      <c r="L92" s="556"/>
      <c r="M92" s="556"/>
      <c r="N92" s="543"/>
      <c r="P92" s="543"/>
      <c r="Q92" s="556"/>
      <c r="R92" s="556"/>
      <c r="S92" s="543"/>
      <c r="U92" s="543"/>
      <c r="V92" s="556"/>
      <c r="W92" s="556"/>
      <c r="X92" s="543"/>
      <c r="Z92" s="543"/>
      <c r="AA92" s="556"/>
      <c r="AB92" s="556"/>
      <c r="AC92" s="543"/>
      <c r="AE92" s="543"/>
      <c r="AF92" s="556"/>
      <c r="AG92" s="556"/>
      <c r="AH92" s="543"/>
      <c r="AJ92" s="543"/>
      <c r="AK92" s="556"/>
      <c r="AL92" s="556"/>
      <c r="AM92" s="543"/>
      <c r="AO92" s="543"/>
      <c r="AP92" s="556"/>
      <c r="AQ92" s="556"/>
      <c r="AR92" s="543"/>
    </row>
    <row r="93" spans="1:68">
      <c r="J93" s="677"/>
      <c r="K93" s="677"/>
      <c r="L93" s="677"/>
      <c r="M93" s="677"/>
      <c r="P93" s="677"/>
    </row>
    <row r="94" spans="1:68" ht="16" thickBot="1">
      <c r="I94" s="677"/>
      <c r="J94" s="677"/>
      <c r="K94" s="677"/>
      <c r="L94" s="677"/>
      <c r="M94" s="677" t="s">
        <v>1040</v>
      </c>
      <c r="N94" s="677"/>
      <c r="P94" s="677"/>
    </row>
    <row r="95" spans="1:68" ht="13.5" customHeight="1">
      <c r="A95" s="704"/>
      <c r="B95" s="704"/>
      <c r="C95" s="705">
        <v>46023</v>
      </c>
      <c r="D95" s="705">
        <v>46054</v>
      </c>
      <c r="E95" s="705">
        <v>46082</v>
      </c>
      <c r="F95" s="705">
        <v>46113</v>
      </c>
      <c r="G95" s="705">
        <v>46143</v>
      </c>
      <c r="H95" s="705">
        <v>46174</v>
      </c>
      <c r="I95" s="705">
        <v>46204</v>
      </c>
      <c r="J95" s="705">
        <v>46235</v>
      </c>
      <c r="K95" s="705">
        <v>46266</v>
      </c>
      <c r="L95" s="705">
        <v>46296</v>
      </c>
      <c r="M95" s="705">
        <v>46327</v>
      </c>
      <c r="N95" s="705">
        <v>46357</v>
      </c>
      <c r="O95" s="704">
        <v>2026</v>
      </c>
      <c r="P95" s="705">
        <v>46388</v>
      </c>
      <c r="Q95" s="705">
        <v>46419</v>
      </c>
      <c r="R95" s="705">
        <v>46447</v>
      </c>
      <c r="S95" s="705">
        <v>46478</v>
      </c>
      <c r="T95" s="705">
        <v>46508</v>
      </c>
      <c r="U95" s="705">
        <v>46539</v>
      </c>
      <c r="V95" s="705">
        <v>46569</v>
      </c>
      <c r="W95" s="705">
        <v>46600</v>
      </c>
      <c r="X95" s="705">
        <v>46631</v>
      </c>
      <c r="Y95" s="705">
        <v>46661</v>
      </c>
      <c r="Z95" s="705">
        <v>46692</v>
      </c>
      <c r="AA95" s="705">
        <v>46722</v>
      </c>
      <c r="AB95" s="704">
        <v>2027</v>
      </c>
      <c r="AC95" s="705">
        <v>46753</v>
      </c>
      <c r="AD95" s="705">
        <v>46784</v>
      </c>
      <c r="AE95" s="705">
        <v>46813</v>
      </c>
      <c r="AF95" s="705">
        <v>46844</v>
      </c>
      <c r="AG95" s="705">
        <v>46874</v>
      </c>
      <c r="AH95" s="705">
        <v>46905</v>
      </c>
      <c r="AI95" s="705">
        <v>46935</v>
      </c>
      <c r="AJ95" s="705">
        <v>46966</v>
      </c>
      <c r="AK95" s="705">
        <v>46997</v>
      </c>
      <c r="AL95" s="705">
        <v>47027</v>
      </c>
      <c r="AM95" s="705">
        <v>47058</v>
      </c>
      <c r="AN95" s="705">
        <v>47088</v>
      </c>
      <c r="AO95" s="704">
        <v>2028</v>
      </c>
      <c r="AP95" s="705">
        <v>47119</v>
      </c>
      <c r="AQ95" s="705">
        <v>47150</v>
      </c>
      <c r="AR95" s="705">
        <v>47178</v>
      </c>
      <c r="AS95" s="705">
        <v>47209</v>
      </c>
      <c r="AT95" s="705">
        <v>47239</v>
      </c>
      <c r="AU95" s="705">
        <v>47270</v>
      </c>
      <c r="AV95" s="705">
        <v>47300</v>
      </c>
      <c r="AW95" s="705">
        <v>47331</v>
      </c>
      <c r="AX95" s="705">
        <v>47362</v>
      </c>
      <c r="AY95" s="705">
        <v>47392</v>
      </c>
      <c r="AZ95" s="705">
        <v>47423</v>
      </c>
      <c r="BA95" s="705">
        <v>47453</v>
      </c>
      <c r="BB95" s="706">
        <v>2029</v>
      </c>
      <c r="BC95" s="705">
        <v>47484</v>
      </c>
      <c r="BD95" s="705">
        <v>47515</v>
      </c>
      <c r="BE95" s="705">
        <v>47543</v>
      </c>
      <c r="BF95" s="705">
        <v>47574</v>
      </c>
      <c r="BG95" s="705">
        <v>47604</v>
      </c>
      <c r="BH95" s="705">
        <v>47635</v>
      </c>
      <c r="BI95" s="705">
        <v>47665</v>
      </c>
      <c r="BJ95" s="705">
        <v>47696</v>
      </c>
      <c r="BK95" s="705">
        <v>47727</v>
      </c>
      <c r="BL95" s="705">
        <v>47757</v>
      </c>
      <c r="BM95" s="705">
        <v>47788</v>
      </c>
      <c r="BN95" s="705">
        <v>47818</v>
      </c>
      <c r="BO95" s="706">
        <v>2030</v>
      </c>
      <c r="BP95" s="707"/>
    </row>
    <row r="96" spans="1:68" ht="13.5" customHeight="1">
      <c r="A96" s="708"/>
      <c r="B96" s="708"/>
      <c r="C96" s="709" t="s">
        <v>49</v>
      </c>
      <c r="D96" s="709" t="s">
        <v>50</v>
      </c>
      <c r="E96" s="709" t="s">
        <v>51</v>
      </c>
      <c r="F96" s="709" t="s">
        <v>52</v>
      </c>
      <c r="G96" s="709" t="s">
        <v>53</v>
      </c>
      <c r="H96" s="709" t="s">
        <v>54</v>
      </c>
      <c r="I96" s="709" t="s">
        <v>55</v>
      </c>
      <c r="J96" s="709" t="s">
        <v>56</v>
      </c>
      <c r="K96" s="709" t="s">
        <v>57</v>
      </c>
      <c r="L96" s="709" t="s">
        <v>58</v>
      </c>
      <c r="M96" s="709" t="s">
        <v>59</v>
      </c>
      <c r="N96" s="709" t="s">
        <v>60</v>
      </c>
      <c r="O96" s="710" t="s">
        <v>65</v>
      </c>
      <c r="P96" s="709" t="s">
        <v>291</v>
      </c>
      <c r="Q96" s="709" t="s">
        <v>308</v>
      </c>
      <c r="R96" s="709" t="s">
        <v>309</v>
      </c>
      <c r="S96" s="709" t="s">
        <v>310</v>
      </c>
      <c r="T96" s="709" t="s">
        <v>311</v>
      </c>
      <c r="U96" s="709" t="s">
        <v>312</v>
      </c>
      <c r="V96" s="709" t="s">
        <v>313</v>
      </c>
      <c r="W96" s="709" t="s">
        <v>314</v>
      </c>
      <c r="X96" s="709" t="s">
        <v>315</v>
      </c>
      <c r="Y96" s="709" t="s">
        <v>316</v>
      </c>
      <c r="Z96" s="709" t="s">
        <v>317</v>
      </c>
      <c r="AA96" s="709" t="s">
        <v>318</v>
      </c>
      <c r="AB96" s="711" t="s">
        <v>121</v>
      </c>
      <c r="AC96" s="709" t="s">
        <v>319</v>
      </c>
      <c r="AD96" s="709" t="s">
        <v>320</v>
      </c>
      <c r="AE96" s="709" t="s">
        <v>321</v>
      </c>
      <c r="AF96" s="709" t="s">
        <v>322</v>
      </c>
      <c r="AG96" s="709" t="s">
        <v>323</v>
      </c>
      <c r="AH96" s="709" t="s">
        <v>324</v>
      </c>
      <c r="AI96" s="709" t="s">
        <v>325</v>
      </c>
      <c r="AJ96" s="709" t="s">
        <v>326</v>
      </c>
      <c r="AK96" s="709" t="s">
        <v>327</v>
      </c>
      <c r="AL96" s="709" t="s">
        <v>328</v>
      </c>
      <c r="AM96" s="709" t="s">
        <v>329</v>
      </c>
      <c r="AN96" s="709" t="s">
        <v>330</v>
      </c>
      <c r="AO96" s="711" t="s">
        <v>122</v>
      </c>
      <c r="AP96" s="712" t="s">
        <v>331</v>
      </c>
      <c r="AQ96" s="712" t="s">
        <v>332</v>
      </c>
      <c r="AR96" s="712" t="s">
        <v>333</v>
      </c>
      <c r="AS96" s="712" t="s">
        <v>334</v>
      </c>
      <c r="AT96" s="712" t="s">
        <v>335</v>
      </c>
      <c r="AU96" s="712" t="s">
        <v>336</v>
      </c>
      <c r="AV96" s="712" t="s">
        <v>337</v>
      </c>
      <c r="AW96" s="712" t="s">
        <v>338</v>
      </c>
      <c r="AX96" s="712" t="s">
        <v>339</v>
      </c>
      <c r="AY96" s="712" t="s">
        <v>340</v>
      </c>
      <c r="AZ96" s="712" t="s">
        <v>341</v>
      </c>
      <c r="BA96" s="712" t="s">
        <v>342</v>
      </c>
      <c r="BB96" s="711" t="s">
        <v>123</v>
      </c>
      <c r="BC96" s="712" t="s">
        <v>343</v>
      </c>
      <c r="BD96" s="712" t="s">
        <v>344</v>
      </c>
      <c r="BE96" s="712" t="s">
        <v>345</v>
      </c>
      <c r="BF96" s="712" t="s">
        <v>346</v>
      </c>
      <c r="BG96" s="712" t="s">
        <v>347</v>
      </c>
      <c r="BH96" s="712" t="s">
        <v>348</v>
      </c>
      <c r="BI96" s="712" t="s">
        <v>349</v>
      </c>
      <c r="BJ96" s="712" t="s">
        <v>350</v>
      </c>
      <c r="BK96" s="712" t="s">
        <v>351</v>
      </c>
      <c r="BL96" s="712" t="s">
        <v>352</v>
      </c>
      <c r="BM96" s="712" t="s">
        <v>353</v>
      </c>
      <c r="BN96" s="712" t="s">
        <v>354</v>
      </c>
      <c r="BO96" s="711" t="s">
        <v>124</v>
      </c>
      <c r="BP96" s="713" t="s">
        <v>125</v>
      </c>
    </row>
    <row r="97" spans="1:68" ht="13.5" customHeight="1">
      <c r="A97" s="714" t="s">
        <v>20</v>
      </c>
      <c r="B97" s="714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6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6"/>
      <c r="AC97" s="715"/>
      <c r="AD97" s="715"/>
      <c r="AE97" s="715"/>
      <c r="AF97" s="715"/>
      <c r="AG97" s="715"/>
      <c r="AH97" s="715"/>
      <c r="AI97" s="715"/>
      <c r="AJ97" s="715"/>
      <c r="AK97" s="715"/>
      <c r="AL97" s="715"/>
      <c r="AM97" s="715"/>
      <c r="AN97" s="715"/>
      <c r="AO97" s="716"/>
      <c r="AP97" s="717"/>
      <c r="AQ97" s="717"/>
      <c r="AR97" s="717"/>
      <c r="AS97" s="717"/>
      <c r="AT97" s="717"/>
      <c r="AU97" s="717"/>
      <c r="AV97" s="717"/>
      <c r="AW97" s="717"/>
      <c r="AX97" s="717"/>
      <c r="AY97" s="717"/>
      <c r="AZ97" s="717"/>
      <c r="BA97" s="717"/>
      <c r="BB97" s="718"/>
      <c r="BC97" s="717"/>
      <c r="BD97" s="717"/>
      <c r="BE97" s="717"/>
      <c r="BF97" s="717"/>
      <c r="BG97" s="717"/>
      <c r="BH97" s="717"/>
      <c r="BI97" s="717"/>
      <c r="BJ97" s="717"/>
      <c r="BK97" s="717"/>
      <c r="BL97" s="717"/>
      <c r="BM97" s="717"/>
      <c r="BN97" s="717"/>
      <c r="BO97" s="718"/>
      <c r="BP97" s="719"/>
    </row>
    <row r="98" spans="1:68" ht="13.5" customHeight="1" thickBot="1">
      <c r="A98" s="720" t="s">
        <v>871</v>
      </c>
      <c r="B98" s="721"/>
      <c r="C98" s="722">
        <v>0</v>
      </c>
      <c r="D98" s="722">
        <v>0</v>
      </c>
      <c r="E98" s="723">
        <v>0</v>
      </c>
      <c r="F98" s="722">
        <v>0</v>
      </c>
      <c r="G98" s="722">
        <v>0</v>
      </c>
      <c r="H98" s="722">
        <v>0</v>
      </c>
      <c r="I98" s="722">
        <v>0</v>
      </c>
      <c r="J98" s="976">
        <v>0</v>
      </c>
      <c r="K98" s="722">
        <v>0</v>
      </c>
      <c r="L98" s="723">
        <v>0</v>
      </c>
      <c r="M98" s="722">
        <v>0</v>
      </c>
      <c r="N98" s="722"/>
      <c r="O98" s="724">
        <f t="shared" ref="O98:O102" si="0">SUM(C98:N98)</f>
        <v>0</v>
      </c>
      <c r="P98" s="722">
        <v>0</v>
      </c>
      <c r="Q98" s="722">
        <v>0</v>
      </c>
      <c r="R98" s="722">
        <v>0</v>
      </c>
      <c r="S98" s="723">
        <v>0</v>
      </c>
      <c r="T98" s="722">
        <v>0</v>
      </c>
      <c r="U98" s="722">
        <v>0</v>
      </c>
      <c r="V98" s="722">
        <f>C88</f>
        <v>1382041</v>
      </c>
      <c r="W98" s="722">
        <v>0</v>
      </c>
      <c r="X98" s="723">
        <v>0</v>
      </c>
      <c r="Y98" s="722">
        <v>0</v>
      </c>
      <c r="Z98" s="722">
        <v>0</v>
      </c>
      <c r="AA98" s="722">
        <v>0</v>
      </c>
      <c r="AB98" s="724">
        <f t="shared" ref="AB98:AB102" si="1">SUM(P98:AA98)</f>
        <v>1382041</v>
      </c>
      <c r="AC98" s="722">
        <v>0</v>
      </c>
      <c r="AD98" s="722">
        <v>0</v>
      </c>
      <c r="AE98" s="723">
        <v>0</v>
      </c>
      <c r="AF98" s="722">
        <v>0</v>
      </c>
      <c r="AG98" s="722">
        <v>0</v>
      </c>
      <c r="AH98" s="722">
        <v>0</v>
      </c>
      <c r="AI98" s="722">
        <f>H88</f>
        <v>1058151.8</v>
      </c>
      <c r="AJ98" s="722">
        <v>0</v>
      </c>
      <c r="AK98" s="722">
        <v>0</v>
      </c>
      <c r="AL98" s="722">
        <v>0</v>
      </c>
      <c r="AM98" s="722">
        <v>0</v>
      </c>
      <c r="AN98" s="722">
        <v>0</v>
      </c>
      <c r="AO98" s="724">
        <f>SUM(AC98:AN98)</f>
        <v>1058151.8</v>
      </c>
      <c r="AP98" s="722">
        <f>AQ88</f>
        <v>0</v>
      </c>
      <c r="AQ98" s="722">
        <v>0</v>
      </c>
      <c r="AR98" s="722">
        <v>0</v>
      </c>
      <c r="AS98" s="722">
        <f>W88</f>
        <v>0</v>
      </c>
      <c r="AT98" s="722">
        <v>0</v>
      </c>
      <c r="AU98" s="722">
        <v>0</v>
      </c>
      <c r="AV98" s="722">
        <f>M88</f>
        <v>1058151.8</v>
      </c>
      <c r="AW98" s="722">
        <v>0</v>
      </c>
      <c r="AX98" s="722">
        <v>0</v>
      </c>
      <c r="AY98" s="722">
        <f>AB88</f>
        <v>0</v>
      </c>
      <c r="AZ98" s="725">
        <v>0</v>
      </c>
      <c r="BA98" s="722">
        <v>0</v>
      </c>
      <c r="BB98" s="724">
        <f t="shared" ref="BB98:BB102" si="2">SUM(AP98:BA98)</f>
        <v>1058151.8</v>
      </c>
      <c r="BC98" s="722">
        <f>AQ88</f>
        <v>0</v>
      </c>
      <c r="BD98" s="722">
        <v>0</v>
      </c>
      <c r="BE98" s="722">
        <v>0</v>
      </c>
      <c r="BF98" s="722">
        <v>0</v>
      </c>
      <c r="BG98" s="722">
        <v>0</v>
      </c>
      <c r="BH98" s="722">
        <v>0</v>
      </c>
      <c r="BI98" s="722">
        <f>R88</f>
        <v>1058151.8</v>
      </c>
      <c r="BJ98" s="722">
        <v>0</v>
      </c>
      <c r="BK98" s="722">
        <v>0</v>
      </c>
      <c r="BL98" s="722">
        <f>AL88</f>
        <v>0</v>
      </c>
      <c r="BM98" s="725">
        <v>0</v>
      </c>
      <c r="BN98" s="722">
        <f>AQ88</f>
        <v>0</v>
      </c>
      <c r="BO98" s="724">
        <f t="shared" ref="BO98:BO102" si="3">SUM(BC98:BN98)</f>
        <v>1058151.8</v>
      </c>
      <c r="BP98" s="726">
        <f>O98+AB98+AO98+BB98+BO98</f>
        <v>4556496.3999999994</v>
      </c>
    </row>
    <row r="99" spans="1:68" ht="13.5" customHeight="1" thickBot="1">
      <c r="A99" s="720" t="s">
        <v>72</v>
      </c>
      <c r="B99" s="721"/>
      <c r="C99" s="722"/>
      <c r="D99" s="722"/>
      <c r="E99" s="723">
        <v>0</v>
      </c>
      <c r="F99" s="722">
        <v>0</v>
      </c>
      <c r="G99" s="722">
        <v>0</v>
      </c>
      <c r="H99" s="722">
        <v>0</v>
      </c>
      <c r="I99" s="722">
        <v>0</v>
      </c>
      <c r="J99" s="722">
        <v>0</v>
      </c>
      <c r="K99" s="722">
        <v>0</v>
      </c>
      <c r="L99" s="722">
        <v>0</v>
      </c>
      <c r="M99" s="722">
        <v>0</v>
      </c>
      <c r="N99" s="722"/>
      <c r="O99" s="724">
        <f t="shared" si="0"/>
        <v>0</v>
      </c>
      <c r="P99" s="722">
        <v>0</v>
      </c>
      <c r="Q99" s="722"/>
      <c r="R99" s="722">
        <v>0</v>
      </c>
      <c r="S99" s="723">
        <v>0</v>
      </c>
      <c r="T99" s="722">
        <v>0</v>
      </c>
      <c r="U99" s="722">
        <v>0</v>
      </c>
      <c r="V99" s="722">
        <f>-C89</f>
        <v>691020.5</v>
      </c>
      <c r="W99" s="722"/>
      <c r="X99" s="723">
        <v>0</v>
      </c>
      <c r="Y99" s="722">
        <v>0</v>
      </c>
      <c r="Z99" s="722">
        <v>0</v>
      </c>
      <c r="AA99" s="722">
        <v>0</v>
      </c>
      <c r="AB99" s="724">
        <f t="shared" si="1"/>
        <v>691020.5</v>
      </c>
      <c r="AC99" s="722">
        <v>0</v>
      </c>
      <c r="AD99" s="722">
        <v>0</v>
      </c>
      <c r="AE99" s="723">
        <v>0</v>
      </c>
      <c r="AF99" s="722">
        <v>0</v>
      </c>
      <c r="AG99" s="722">
        <v>0</v>
      </c>
      <c r="AH99" s="722">
        <v>0</v>
      </c>
      <c r="AI99" s="722">
        <f>-H89</f>
        <v>529075.9</v>
      </c>
      <c r="AJ99" s="722"/>
      <c r="AK99" s="722"/>
      <c r="AL99" s="722">
        <v>0</v>
      </c>
      <c r="AM99" s="722">
        <v>0</v>
      </c>
      <c r="AN99" s="722"/>
      <c r="AO99" s="724">
        <f>SUM(AC99:AN99)</f>
        <v>529075.9</v>
      </c>
      <c r="AP99" s="722">
        <f>-AQ89</f>
        <v>0</v>
      </c>
      <c r="AQ99" s="722">
        <v>0</v>
      </c>
      <c r="AR99" s="722"/>
      <c r="AS99" s="722">
        <f>-W89</f>
        <v>0</v>
      </c>
      <c r="AT99" s="722"/>
      <c r="AU99" s="722"/>
      <c r="AV99" s="722">
        <f>-M89</f>
        <v>529075.9</v>
      </c>
      <c r="AW99" s="722"/>
      <c r="AX99" s="722"/>
      <c r="AY99" s="722">
        <f>-AB89</f>
        <v>0</v>
      </c>
      <c r="AZ99" s="725"/>
      <c r="BA99" s="722"/>
      <c r="BB99" s="724">
        <f t="shared" si="2"/>
        <v>529075.9</v>
      </c>
      <c r="BC99" s="722">
        <f>-AQ89</f>
        <v>0</v>
      </c>
      <c r="BD99" s="722"/>
      <c r="BE99" s="722"/>
      <c r="BF99" s="722"/>
      <c r="BG99" s="722"/>
      <c r="BH99" s="722"/>
      <c r="BI99" s="722">
        <f>-R89</f>
        <v>529075.9</v>
      </c>
      <c r="BJ99" s="722"/>
      <c r="BK99" s="722"/>
      <c r="BL99" s="722">
        <f>-AL89</f>
        <v>0</v>
      </c>
      <c r="BM99" s="725"/>
      <c r="BN99" s="722">
        <f>-AQ89</f>
        <v>0</v>
      </c>
      <c r="BO99" s="724">
        <f t="shared" si="3"/>
        <v>529075.9</v>
      </c>
      <c r="BP99" s="726">
        <f>O99+AB99+AO99+BB99+BO99</f>
        <v>2278248.1999999997</v>
      </c>
    </row>
    <row r="100" spans="1:68" ht="13.5" customHeight="1" thickBot="1">
      <c r="A100" s="720" t="s">
        <v>73</v>
      </c>
      <c r="B100" s="727">
        <f>'Ted Inputs'!G13</f>
        <v>0.01</v>
      </c>
      <c r="C100" s="722">
        <f>C98*$B$100</f>
        <v>0</v>
      </c>
      <c r="D100" s="722">
        <f t="shared" ref="D100:N100" si="4">D98*$B$100</f>
        <v>0</v>
      </c>
      <c r="E100" s="722">
        <f t="shared" si="4"/>
        <v>0</v>
      </c>
      <c r="F100" s="722">
        <f t="shared" si="4"/>
        <v>0</v>
      </c>
      <c r="G100" s="722">
        <f t="shared" si="4"/>
        <v>0</v>
      </c>
      <c r="H100" s="722">
        <f t="shared" si="4"/>
        <v>0</v>
      </c>
      <c r="I100" s="722">
        <f t="shared" si="4"/>
        <v>0</v>
      </c>
      <c r="J100" s="722">
        <f t="shared" si="4"/>
        <v>0</v>
      </c>
      <c r="K100" s="722">
        <f t="shared" si="4"/>
        <v>0</v>
      </c>
      <c r="L100" s="722">
        <f t="shared" si="4"/>
        <v>0</v>
      </c>
      <c r="M100" s="722">
        <f t="shared" si="4"/>
        <v>0</v>
      </c>
      <c r="N100" s="722">
        <f t="shared" si="4"/>
        <v>0</v>
      </c>
      <c r="O100" s="724">
        <f t="shared" si="0"/>
        <v>0</v>
      </c>
      <c r="P100" s="722">
        <f>P98*$B$100</f>
        <v>0</v>
      </c>
      <c r="Q100" s="722">
        <f t="shared" ref="Q100:AA100" si="5">Q98*$B$100</f>
        <v>0</v>
      </c>
      <c r="R100" s="722">
        <f t="shared" si="5"/>
        <v>0</v>
      </c>
      <c r="S100" s="722">
        <f t="shared" si="5"/>
        <v>0</v>
      </c>
      <c r="T100" s="722">
        <f t="shared" si="5"/>
        <v>0</v>
      </c>
      <c r="U100" s="722">
        <f t="shared" si="5"/>
        <v>0</v>
      </c>
      <c r="V100" s="722">
        <f t="shared" si="5"/>
        <v>13820.41</v>
      </c>
      <c r="W100" s="722">
        <f t="shared" si="5"/>
        <v>0</v>
      </c>
      <c r="X100" s="722">
        <f t="shared" si="5"/>
        <v>0</v>
      </c>
      <c r="Y100" s="722">
        <f t="shared" si="5"/>
        <v>0</v>
      </c>
      <c r="Z100" s="722">
        <f t="shared" si="5"/>
        <v>0</v>
      </c>
      <c r="AA100" s="722">
        <f t="shared" si="5"/>
        <v>0</v>
      </c>
      <c r="AB100" s="724">
        <f t="shared" si="1"/>
        <v>13820.41</v>
      </c>
      <c r="AC100" s="722">
        <f>AC98*$B$100</f>
        <v>0</v>
      </c>
      <c r="AD100" s="722">
        <f t="shared" ref="AD100:AN100" si="6">AD98*$B$100</f>
        <v>0</v>
      </c>
      <c r="AE100" s="722">
        <f t="shared" si="6"/>
        <v>0</v>
      </c>
      <c r="AF100" s="722">
        <f t="shared" si="6"/>
        <v>0</v>
      </c>
      <c r="AG100" s="722">
        <f t="shared" si="6"/>
        <v>0</v>
      </c>
      <c r="AH100" s="722">
        <f t="shared" si="6"/>
        <v>0</v>
      </c>
      <c r="AI100" s="722">
        <f t="shared" si="6"/>
        <v>10581.518</v>
      </c>
      <c r="AJ100" s="722">
        <f t="shared" si="6"/>
        <v>0</v>
      </c>
      <c r="AK100" s="722">
        <f t="shared" si="6"/>
        <v>0</v>
      </c>
      <c r="AL100" s="722">
        <f t="shared" si="6"/>
        <v>0</v>
      </c>
      <c r="AM100" s="722">
        <f t="shared" si="6"/>
        <v>0</v>
      </c>
      <c r="AN100" s="722">
        <f t="shared" si="6"/>
        <v>0</v>
      </c>
      <c r="AO100" s="724">
        <f>SUM(AC100:AN100)</f>
        <v>10581.518</v>
      </c>
      <c r="AP100" s="722">
        <f>AP98*$B$100</f>
        <v>0</v>
      </c>
      <c r="AQ100" s="722">
        <f t="shared" ref="AQ100:BA100" si="7">AQ98*$B$100</f>
        <v>0</v>
      </c>
      <c r="AR100" s="722">
        <f t="shared" si="7"/>
        <v>0</v>
      </c>
      <c r="AS100" s="722">
        <f t="shared" si="7"/>
        <v>0</v>
      </c>
      <c r="AT100" s="722">
        <f t="shared" si="7"/>
        <v>0</v>
      </c>
      <c r="AU100" s="722">
        <f t="shared" si="7"/>
        <v>0</v>
      </c>
      <c r="AV100" s="722">
        <f t="shared" si="7"/>
        <v>10581.518</v>
      </c>
      <c r="AW100" s="722">
        <f t="shared" si="7"/>
        <v>0</v>
      </c>
      <c r="AX100" s="722">
        <f t="shared" si="7"/>
        <v>0</v>
      </c>
      <c r="AY100" s="722">
        <f t="shared" si="7"/>
        <v>0</v>
      </c>
      <c r="AZ100" s="722">
        <f t="shared" si="7"/>
        <v>0</v>
      </c>
      <c r="BA100" s="722">
        <f t="shared" si="7"/>
        <v>0</v>
      </c>
      <c r="BB100" s="724">
        <f t="shared" si="2"/>
        <v>10581.518</v>
      </c>
      <c r="BC100" s="722">
        <f>BC98*$B$100</f>
        <v>0</v>
      </c>
      <c r="BD100" s="722">
        <f t="shared" ref="BD100:BN100" si="8">BD98*$B$100</f>
        <v>0</v>
      </c>
      <c r="BE100" s="722">
        <f t="shared" si="8"/>
        <v>0</v>
      </c>
      <c r="BF100" s="722">
        <f t="shared" si="8"/>
        <v>0</v>
      </c>
      <c r="BG100" s="722">
        <f t="shared" si="8"/>
        <v>0</v>
      </c>
      <c r="BH100" s="722">
        <f t="shared" si="8"/>
        <v>0</v>
      </c>
      <c r="BI100" s="722">
        <f t="shared" si="8"/>
        <v>10581.518</v>
      </c>
      <c r="BJ100" s="722">
        <f t="shared" si="8"/>
        <v>0</v>
      </c>
      <c r="BK100" s="722">
        <f t="shared" si="8"/>
        <v>0</v>
      </c>
      <c r="BL100" s="722">
        <f t="shared" si="8"/>
        <v>0</v>
      </c>
      <c r="BM100" s="722">
        <f t="shared" si="8"/>
        <v>0</v>
      </c>
      <c r="BN100" s="722">
        <f t="shared" si="8"/>
        <v>0</v>
      </c>
      <c r="BO100" s="724">
        <f t="shared" si="3"/>
        <v>10581.518</v>
      </c>
      <c r="BP100" s="726">
        <f>O100+AB100+AO100+BB100+BO100</f>
        <v>45564.963999999993</v>
      </c>
    </row>
    <row r="101" spans="1:68" ht="13.5" customHeight="1" thickBot="1">
      <c r="A101" s="720" t="s">
        <v>77</v>
      </c>
      <c r="B101" s="727">
        <f>'Ted Inputs'!G6</f>
        <v>0.1</v>
      </c>
      <c r="C101" s="722">
        <v>0</v>
      </c>
      <c r="D101" s="722">
        <v>0</v>
      </c>
      <c r="E101" s="722">
        <v>0</v>
      </c>
      <c r="F101" s="722">
        <f>ROUND(SUM(C98:E98)*$B$101,0)</f>
        <v>0</v>
      </c>
      <c r="G101" s="722">
        <v>0</v>
      </c>
      <c r="H101" s="722">
        <v>0</v>
      </c>
      <c r="I101" s="722">
        <v>0</v>
      </c>
      <c r="J101" s="722">
        <f>ROUND(SUM(G98:I98)*$B$101,0)</f>
        <v>0</v>
      </c>
      <c r="K101" s="722">
        <v>0</v>
      </c>
      <c r="L101" s="722">
        <v>0</v>
      </c>
      <c r="M101" s="722">
        <v>25000</v>
      </c>
      <c r="N101" s="722">
        <f>ROUND(SUM(K98:M98)*$B$101,0)</f>
        <v>0</v>
      </c>
      <c r="O101" s="724">
        <f t="shared" si="0"/>
        <v>25000</v>
      </c>
      <c r="P101" s="722">
        <f>ROUND(SUM(M98:O98)*$B$101,0)</f>
        <v>0</v>
      </c>
      <c r="Q101" s="722">
        <f>ROUND(SUM(N98:P98)*$B$101,0)</f>
        <v>0</v>
      </c>
      <c r="R101" s="722">
        <f>ROUND(SUM(O98:Q98)*$B$101,0)</f>
        <v>0</v>
      </c>
      <c r="S101" s="722">
        <f>ROUND(SUM(P98:R98)*$B$101,0)</f>
        <v>0</v>
      </c>
      <c r="T101" s="722">
        <f>ROUND(SUM(Q98:S98)*$B$101,0)</f>
        <v>0</v>
      </c>
      <c r="U101" s="722">
        <v>25000</v>
      </c>
      <c r="V101" s="722">
        <f>ROUND(SUM(S98:U98)*$B$101,0)</f>
        <v>0</v>
      </c>
      <c r="W101" s="722">
        <v>0</v>
      </c>
      <c r="X101" s="722">
        <v>0</v>
      </c>
      <c r="Y101" s="722">
        <f>ROUND(SUM(V98:X98)*$B$101,0)-SUM(M101:N101)-SUM(P101:X101)</f>
        <v>88204</v>
      </c>
      <c r="Z101" s="722">
        <f>ROUND(SUM(W98:Y98)*$B$101,0)</f>
        <v>0</v>
      </c>
      <c r="AA101" s="722">
        <v>0</v>
      </c>
      <c r="AB101" s="724">
        <f t="shared" si="1"/>
        <v>113204</v>
      </c>
      <c r="AC101" s="722">
        <v>0</v>
      </c>
      <c r="AD101" s="722">
        <v>0</v>
      </c>
      <c r="AE101" s="722">
        <v>0</v>
      </c>
      <c r="AF101" s="722">
        <f>ROUND(SUM(AC98:AE98)*$B$101,0)</f>
        <v>0</v>
      </c>
      <c r="AG101" s="722">
        <f>ROUND(SUM(AD98:AF98)*$B$101,0)</f>
        <v>0</v>
      </c>
      <c r="AH101" s="722">
        <v>0</v>
      </c>
      <c r="AI101" s="722">
        <v>0</v>
      </c>
      <c r="AJ101" s="722">
        <f>ROUND(SUM(AG98:AI98)*$B$101,0)</f>
        <v>105815</v>
      </c>
      <c r="AK101" s="722">
        <v>0</v>
      </c>
      <c r="AL101" s="722">
        <v>0</v>
      </c>
      <c r="AM101" s="722">
        <f>ROUND(SUM(AJ98:AL98)*$B$101,0)</f>
        <v>0</v>
      </c>
      <c r="AN101" s="722">
        <v>0</v>
      </c>
      <c r="AO101" s="724">
        <f>SUM(AC101:AN101)</f>
        <v>105815</v>
      </c>
      <c r="AP101" s="722">
        <v>0</v>
      </c>
      <c r="AQ101" s="722">
        <v>0</v>
      </c>
      <c r="AR101" s="722">
        <v>0</v>
      </c>
      <c r="AS101" s="722">
        <f>ROUND(SUM(AP98:AR98)*$B$101,0)</f>
        <v>0</v>
      </c>
      <c r="AT101" s="722">
        <f>ROUND(SUM(AQ98:AS98)*$B$101,0)</f>
        <v>0</v>
      </c>
      <c r="AU101" s="722">
        <v>0</v>
      </c>
      <c r="AV101" s="722">
        <v>0</v>
      </c>
      <c r="AW101" s="722">
        <f>ROUND(SUM(AT98:AV98)*$B$101,0)</f>
        <v>105815</v>
      </c>
      <c r="AX101" s="722">
        <v>0</v>
      </c>
      <c r="AY101" s="722">
        <v>0</v>
      </c>
      <c r="AZ101" s="722">
        <f>ROUND(SUM(AW98:AY98)*$B$101,0)</f>
        <v>0</v>
      </c>
      <c r="BA101" s="722">
        <v>0</v>
      </c>
      <c r="BB101" s="724">
        <f t="shared" si="2"/>
        <v>105815</v>
      </c>
      <c r="BC101" s="722">
        <v>0</v>
      </c>
      <c r="BD101" s="722">
        <v>0</v>
      </c>
      <c r="BE101" s="722">
        <v>0</v>
      </c>
      <c r="BF101" s="722">
        <f>ROUND(SUM(BC98:BE98)*$B$101,0)</f>
        <v>0</v>
      </c>
      <c r="BG101" s="722">
        <v>0</v>
      </c>
      <c r="BH101" s="722">
        <v>0</v>
      </c>
      <c r="BI101" s="722">
        <v>0</v>
      </c>
      <c r="BJ101" s="722">
        <f>ROUND(SUM(BG98:BI98)*$B$101,0)</f>
        <v>105815</v>
      </c>
      <c r="BK101" s="722">
        <v>0</v>
      </c>
      <c r="BL101" s="722">
        <v>0</v>
      </c>
      <c r="BM101" s="722">
        <v>0</v>
      </c>
      <c r="BN101" s="722">
        <f>ROUND(SUM(BK98:BM98)*$B$101,0)</f>
        <v>0</v>
      </c>
      <c r="BO101" s="724">
        <f t="shared" si="3"/>
        <v>105815</v>
      </c>
      <c r="BP101" s="726">
        <f>O101+AB101+AO101+BB101+BO101</f>
        <v>455649</v>
      </c>
    </row>
    <row r="102" spans="1:68" s="733" customFormat="1" ht="13.5" customHeight="1" thickBot="1">
      <c r="A102" s="728" t="s">
        <v>5</v>
      </c>
      <c r="B102" s="729"/>
      <c r="C102" s="730">
        <f>C98-C99-C100-C101</f>
        <v>0</v>
      </c>
      <c r="D102" s="730">
        <f t="shared" ref="D102:N102" si="9">D98-D99-D100-D101</f>
        <v>0</v>
      </c>
      <c r="E102" s="730">
        <f t="shared" si="9"/>
        <v>0</v>
      </c>
      <c r="F102" s="730">
        <f t="shared" si="9"/>
        <v>0</v>
      </c>
      <c r="G102" s="730">
        <f t="shared" si="9"/>
        <v>0</v>
      </c>
      <c r="H102" s="730">
        <f t="shared" si="9"/>
        <v>0</v>
      </c>
      <c r="I102" s="730">
        <f t="shared" si="9"/>
        <v>0</v>
      </c>
      <c r="J102" s="730">
        <f t="shared" si="9"/>
        <v>0</v>
      </c>
      <c r="K102" s="730">
        <f t="shared" si="9"/>
        <v>0</v>
      </c>
      <c r="L102" s="730">
        <f t="shared" si="9"/>
        <v>0</v>
      </c>
      <c r="M102" s="730">
        <f t="shared" si="9"/>
        <v>-25000</v>
      </c>
      <c r="N102" s="730">
        <f t="shared" si="9"/>
        <v>0</v>
      </c>
      <c r="O102" s="731">
        <f t="shared" si="0"/>
        <v>-25000</v>
      </c>
      <c r="P102" s="730">
        <f>P98-P99-P100-P101</f>
        <v>0</v>
      </c>
      <c r="Q102" s="730">
        <f t="shared" ref="Q102:AA102" si="10">Q98-Q99-Q100-Q101</f>
        <v>0</v>
      </c>
      <c r="R102" s="730">
        <f t="shared" si="10"/>
        <v>0</v>
      </c>
      <c r="S102" s="730">
        <f t="shared" si="10"/>
        <v>0</v>
      </c>
      <c r="T102" s="730">
        <f t="shared" si="10"/>
        <v>0</v>
      </c>
      <c r="U102" s="730">
        <f t="shared" si="10"/>
        <v>-25000</v>
      </c>
      <c r="V102" s="730">
        <f t="shared" si="10"/>
        <v>677200.09</v>
      </c>
      <c r="W102" s="730">
        <f t="shared" si="10"/>
        <v>0</v>
      </c>
      <c r="X102" s="730">
        <f t="shared" si="10"/>
        <v>0</v>
      </c>
      <c r="Y102" s="730">
        <f t="shared" si="10"/>
        <v>-88204</v>
      </c>
      <c r="Z102" s="730">
        <f t="shared" si="10"/>
        <v>0</v>
      </c>
      <c r="AA102" s="730">
        <f t="shared" si="10"/>
        <v>0</v>
      </c>
      <c r="AB102" s="731">
        <f t="shared" si="1"/>
        <v>563996.09</v>
      </c>
      <c r="AC102" s="730">
        <f>AC98-AC99-AC100-AC101</f>
        <v>0</v>
      </c>
      <c r="AD102" s="730">
        <f t="shared" ref="AD102:AN102" si="11">AD98-AD99-AD100-AD101</f>
        <v>0</v>
      </c>
      <c r="AE102" s="730">
        <f t="shared" si="11"/>
        <v>0</v>
      </c>
      <c r="AF102" s="730">
        <f t="shared" si="11"/>
        <v>0</v>
      </c>
      <c r="AG102" s="730">
        <f t="shared" si="11"/>
        <v>0</v>
      </c>
      <c r="AH102" s="730">
        <f t="shared" si="11"/>
        <v>0</v>
      </c>
      <c r="AI102" s="730">
        <f t="shared" si="11"/>
        <v>518494.38200000004</v>
      </c>
      <c r="AJ102" s="730">
        <f t="shared" si="11"/>
        <v>-105815</v>
      </c>
      <c r="AK102" s="730">
        <f t="shared" si="11"/>
        <v>0</v>
      </c>
      <c r="AL102" s="730">
        <f t="shared" si="11"/>
        <v>0</v>
      </c>
      <c r="AM102" s="730">
        <f t="shared" si="11"/>
        <v>0</v>
      </c>
      <c r="AN102" s="730">
        <f t="shared" si="11"/>
        <v>0</v>
      </c>
      <c r="AO102" s="731">
        <f>SUM(AC102:AN102)</f>
        <v>412679.38200000004</v>
      </c>
      <c r="AP102" s="730">
        <f>AP98-AP99-AP100-AP101</f>
        <v>0</v>
      </c>
      <c r="AQ102" s="730">
        <f t="shared" ref="AQ102:BA102" si="12">AQ98-AQ99-AQ100-AQ101</f>
        <v>0</v>
      </c>
      <c r="AR102" s="730">
        <f t="shared" si="12"/>
        <v>0</v>
      </c>
      <c r="AS102" s="730">
        <f t="shared" si="12"/>
        <v>0</v>
      </c>
      <c r="AT102" s="730">
        <f t="shared" si="12"/>
        <v>0</v>
      </c>
      <c r="AU102" s="730">
        <f t="shared" si="12"/>
        <v>0</v>
      </c>
      <c r="AV102" s="730">
        <f t="shared" si="12"/>
        <v>518494.38200000004</v>
      </c>
      <c r="AW102" s="730">
        <f t="shared" si="12"/>
        <v>-105815</v>
      </c>
      <c r="AX102" s="730">
        <f t="shared" si="12"/>
        <v>0</v>
      </c>
      <c r="AY102" s="730">
        <f t="shared" si="12"/>
        <v>0</v>
      </c>
      <c r="AZ102" s="730">
        <f t="shared" si="12"/>
        <v>0</v>
      </c>
      <c r="BA102" s="730">
        <f t="shared" si="12"/>
        <v>0</v>
      </c>
      <c r="BB102" s="731">
        <f t="shared" si="2"/>
        <v>412679.38200000004</v>
      </c>
      <c r="BC102" s="730">
        <f>BC98-BC99-BC100-BC101</f>
        <v>0</v>
      </c>
      <c r="BD102" s="730">
        <f t="shared" ref="BD102:BN102" si="13">BD98-BD99-BD100-BD101</f>
        <v>0</v>
      </c>
      <c r="BE102" s="730">
        <f t="shared" si="13"/>
        <v>0</v>
      </c>
      <c r="BF102" s="730">
        <f t="shared" si="13"/>
        <v>0</v>
      </c>
      <c r="BG102" s="730">
        <f t="shared" si="13"/>
        <v>0</v>
      </c>
      <c r="BH102" s="730">
        <f t="shared" si="13"/>
        <v>0</v>
      </c>
      <c r="BI102" s="730">
        <f t="shared" si="13"/>
        <v>518494.38200000004</v>
      </c>
      <c r="BJ102" s="730">
        <f t="shared" si="13"/>
        <v>-105815</v>
      </c>
      <c r="BK102" s="730">
        <f t="shared" si="13"/>
        <v>0</v>
      </c>
      <c r="BL102" s="730">
        <f t="shared" si="13"/>
        <v>0</v>
      </c>
      <c r="BM102" s="730">
        <f t="shared" si="13"/>
        <v>0</v>
      </c>
      <c r="BN102" s="730">
        <f t="shared" si="13"/>
        <v>0</v>
      </c>
      <c r="BO102" s="731">
        <f t="shared" si="3"/>
        <v>412679.38200000004</v>
      </c>
      <c r="BP102" s="732">
        <f>O102+AB102+AO102+BB102+BO102</f>
        <v>1777034.236</v>
      </c>
    </row>
    <row r="103" spans="1:68" s="556" customFormat="1">
      <c r="B103" s="543"/>
      <c r="C103" s="543"/>
      <c r="D103" s="543"/>
      <c r="E103" s="543"/>
      <c r="F103" s="543"/>
      <c r="G103" s="543"/>
      <c r="H103" s="543"/>
      <c r="J103" s="551"/>
      <c r="L103" s="543"/>
      <c r="O103" s="543"/>
      <c r="Q103" s="543"/>
      <c r="T103" s="543"/>
      <c r="V103" s="543"/>
      <c r="Y103" s="543"/>
      <c r="AB103" s="619"/>
    </row>
    <row r="104" spans="1:68">
      <c r="M104" s="980"/>
    </row>
    <row r="105" spans="1:68">
      <c r="L105" s="974"/>
      <c r="M105" s="980"/>
    </row>
    <row r="106" spans="1:68">
      <c r="M106" s="980"/>
    </row>
  </sheetData>
  <mergeCells count="150">
    <mergeCell ref="E5:E6"/>
    <mergeCell ref="G5:G6"/>
    <mergeCell ref="H5:H6"/>
    <mergeCell ref="AP5:AP6"/>
    <mergeCell ref="AQ5:AQ6"/>
    <mergeCell ref="AR5:AR6"/>
    <mergeCell ref="AA5:AA6"/>
    <mergeCell ref="AB5:AB6"/>
    <mergeCell ref="AC5:AC6"/>
    <mergeCell ref="AF5:AF6"/>
    <mergeCell ref="AG5:AG6"/>
    <mergeCell ref="AH5:AH6"/>
    <mergeCell ref="B21:B22"/>
    <mergeCell ref="C21:C22"/>
    <mergeCell ref="D21:D22"/>
    <mergeCell ref="E21:E22"/>
    <mergeCell ref="G21:G22"/>
    <mergeCell ref="H21:H22"/>
    <mergeCell ref="AK5:AK6"/>
    <mergeCell ref="AL5:AL6"/>
    <mergeCell ref="AM5:AM6"/>
    <mergeCell ref="Q5:Q6"/>
    <mergeCell ref="R5:R6"/>
    <mergeCell ref="S5:S6"/>
    <mergeCell ref="V5:V6"/>
    <mergeCell ref="W5:W6"/>
    <mergeCell ref="X5:X6"/>
    <mergeCell ref="I5:I6"/>
    <mergeCell ref="J5:J6"/>
    <mergeCell ref="L5:L6"/>
    <mergeCell ref="M5:M6"/>
    <mergeCell ref="N5:N6"/>
    <mergeCell ref="O5:O6"/>
    <mergeCell ref="B5:B6"/>
    <mergeCell ref="C5:C6"/>
    <mergeCell ref="D5:D6"/>
    <mergeCell ref="Q21:Q22"/>
    <mergeCell ref="R21:R22"/>
    <mergeCell ref="S21:S22"/>
    <mergeCell ref="V21:V22"/>
    <mergeCell ref="W21:W22"/>
    <mergeCell ref="X21:X22"/>
    <mergeCell ref="I21:I22"/>
    <mergeCell ref="J21:J22"/>
    <mergeCell ref="L21:L22"/>
    <mergeCell ref="M21:M22"/>
    <mergeCell ref="N21:N22"/>
    <mergeCell ref="O21:O22"/>
    <mergeCell ref="AK21:AK22"/>
    <mergeCell ref="AL21:AL22"/>
    <mergeCell ref="AM21:AM22"/>
    <mergeCell ref="AP21:AP22"/>
    <mergeCell ref="AQ21:AQ22"/>
    <mergeCell ref="AR21:AR22"/>
    <mergeCell ref="AA21:AA22"/>
    <mergeCell ref="AB21:AB22"/>
    <mergeCell ref="AC21:AC22"/>
    <mergeCell ref="AF21:AF22"/>
    <mergeCell ref="AG21:AG22"/>
    <mergeCell ref="AH21:AH22"/>
    <mergeCell ref="M37:M38"/>
    <mergeCell ref="N37:N38"/>
    <mergeCell ref="O37:O38"/>
    <mergeCell ref="B37:B38"/>
    <mergeCell ref="C37:C38"/>
    <mergeCell ref="D37:D38"/>
    <mergeCell ref="E37:E38"/>
    <mergeCell ref="G37:G38"/>
    <mergeCell ref="H37:H38"/>
    <mergeCell ref="E53:E54"/>
    <mergeCell ref="G53:G54"/>
    <mergeCell ref="H53:H54"/>
    <mergeCell ref="AK37:AK38"/>
    <mergeCell ref="AL37:AL38"/>
    <mergeCell ref="AM37:AM38"/>
    <mergeCell ref="AP37:AP38"/>
    <mergeCell ref="AQ37:AQ38"/>
    <mergeCell ref="AR37:AR38"/>
    <mergeCell ref="AA37:AA38"/>
    <mergeCell ref="AB37:AB38"/>
    <mergeCell ref="AC37:AC38"/>
    <mergeCell ref="AF37:AF38"/>
    <mergeCell ref="AG37:AG38"/>
    <mergeCell ref="AH37:AH38"/>
    <mergeCell ref="Q37:Q38"/>
    <mergeCell ref="R37:R38"/>
    <mergeCell ref="S37:S38"/>
    <mergeCell ref="V37:V38"/>
    <mergeCell ref="W37:W38"/>
    <mergeCell ref="X37:X38"/>
    <mergeCell ref="I37:I38"/>
    <mergeCell ref="J37:J38"/>
    <mergeCell ref="L37:L38"/>
    <mergeCell ref="AP53:AP54"/>
    <mergeCell ref="AQ53:AQ54"/>
    <mergeCell ref="AR53:AR54"/>
    <mergeCell ref="AA53:AA54"/>
    <mergeCell ref="AB53:AB54"/>
    <mergeCell ref="AC53:AC54"/>
    <mergeCell ref="AF53:AF54"/>
    <mergeCell ref="AG53:AG54"/>
    <mergeCell ref="AH53:AH54"/>
    <mergeCell ref="B69:B70"/>
    <mergeCell ref="C69:C70"/>
    <mergeCell ref="D69:D70"/>
    <mergeCell ref="E69:E70"/>
    <mergeCell ref="G69:G70"/>
    <mergeCell ref="H69:H70"/>
    <mergeCell ref="AK53:AK54"/>
    <mergeCell ref="AL53:AL54"/>
    <mergeCell ref="AM53:AM54"/>
    <mergeCell ref="Q53:Q54"/>
    <mergeCell ref="R53:R54"/>
    <mergeCell ref="S53:S54"/>
    <mergeCell ref="V53:V54"/>
    <mergeCell ref="W53:W54"/>
    <mergeCell ref="X53:X54"/>
    <mergeCell ref="I53:I54"/>
    <mergeCell ref="J53:J54"/>
    <mergeCell ref="L53:L54"/>
    <mergeCell ref="M53:M54"/>
    <mergeCell ref="N53:N54"/>
    <mergeCell ref="O53:O54"/>
    <mergeCell ref="B53:B54"/>
    <mergeCell ref="C53:C54"/>
    <mergeCell ref="D53:D54"/>
    <mergeCell ref="Q69:Q70"/>
    <mergeCell ref="R69:R70"/>
    <mergeCell ref="S69:S70"/>
    <mergeCell ref="V69:V70"/>
    <mergeCell ref="W69:W70"/>
    <mergeCell ref="X69:X70"/>
    <mergeCell ref="I69:I70"/>
    <mergeCell ref="J69:J70"/>
    <mergeCell ref="L69:L70"/>
    <mergeCell ref="M69:M70"/>
    <mergeCell ref="N69:N70"/>
    <mergeCell ref="O69:O70"/>
    <mergeCell ref="AK69:AK70"/>
    <mergeCell ref="AL69:AL70"/>
    <mergeCell ref="AM69:AM70"/>
    <mergeCell ref="AP69:AP70"/>
    <mergeCell ref="AQ69:AQ70"/>
    <mergeCell ref="AR69:AR70"/>
    <mergeCell ref="AA69:AA70"/>
    <mergeCell ref="AB69:AB70"/>
    <mergeCell ref="AC69:AC70"/>
    <mergeCell ref="AF69:AF70"/>
    <mergeCell ref="AG69:AG70"/>
    <mergeCell ref="AH69:AH7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627D-6491-E94E-A323-A16BD0DB1281}">
  <dimension ref="A1:M131"/>
  <sheetViews>
    <sheetView topLeftCell="A18" workbookViewId="0">
      <selection activeCell="C36" sqref="C36:M40"/>
    </sheetView>
  </sheetViews>
  <sheetFormatPr baseColWidth="10" defaultColWidth="8.6640625" defaultRowHeight="15"/>
  <cols>
    <col min="1" max="1" width="13.83203125" style="556" bestFit="1" customWidth="1"/>
    <col min="2" max="2" width="2.83203125" style="543" customWidth="1"/>
    <col min="3" max="3" width="13.83203125" style="556" bestFit="1" customWidth="1"/>
    <col min="4" max="4" width="2.6640625" style="556" customWidth="1"/>
    <col min="5" max="5" width="10.33203125" style="543" bestFit="1" customWidth="1"/>
    <col min="6" max="6" width="2.6640625" style="745" customWidth="1"/>
    <col min="7" max="7" width="9.6640625" style="746" customWidth="1"/>
    <col min="8" max="8" width="2.6640625" style="747" customWidth="1"/>
    <col min="9" max="9" width="9.5" style="747" bestFit="1" customWidth="1"/>
    <col min="10" max="10" width="2.6640625" style="746" customWidth="1"/>
    <col min="11" max="11" width="10.1640625" style="747" bestFit="1" customWidth="1"/>
    <col min="12" max="12" width="2.6640625" style="746" customWidth="1"/>
    <col min="13" max="13" width="10.1640625" style="747" bestFit="1" customWidth="1"/>
    <col min="14" max="14" width="9.6640625" style="556" customWidth="1"/>
    <col min="15" max="16384" width="8.6640625" style="556"/>
  </cols>
  <sheetData>
    <row r="1" spans="1:13">
      <c r="A1" s="1154" t="s">
        <v>873</v>
      </c>
      <c r="B1" s="1154"/>
      <c r="C1" s="1154"/>
      <c r="D1" s="1154"/>
      <c r="E1" s="1154"/>
      <c r="F1" s="1154"/>
      <c r="G1" s="1154"/>
      <c r="H1" s="1154"/>
      <c r="I1" s="1154"/>
      <c r="J1" s="1154"/>
      <c r="K1" s="1154"/>
      <c r="L1" s="1154"/>
      <c r="M1" s="1154"/>
    </row>
    <row r="2" spans="1:13">
      <c r="A2" s="741"/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</row>
    <row r="3" spans="1:13" ht="16" thickBot="1">
      <c r="A3" s="741"/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</row>
    <row r="4" spans="1:13" ht="16" thickBot="1">
      <c r="A4" s="742" t="s">
        <v>956</v>
      </c>
      <c r="B4" s="743"/>
      <c r="C4" s="743"/>
      <c r="D4" s="743"/>
      <c r="E4" s="743"/>
      <c r="F4" s="743"/>
      <c r="G4" s="744"/>
      <c r="H4" s="551"/>
      <c r="I4" s="745"/>
      <c r="M4" s="746"/>
    </row>
    <row r="5" spans="1:13">
      <c r="A5" s="748" t="s">
        <v>731</v>
      </c>
      <c r="B5" s="749"/>
      <c r="C5" s="749"/>
      <c r="D5" s="749"/>
      <c r="E5" s="749"/>
      <c r="F5" s="749"/>
      <c r="G5" s="750"/>
      <c r="H5" s="551"/>
      <c r="I5" s="745"/>
      <c r="M5" s="746"/>
    </row>
    <row r="6" spans="1:13">
      <c r="A6" s="751"/>
      <c r="B6" s="752" t="s">
        <v>872</v>
      </c>
      <c r="C6" s="737"/>
      <c r="D6" s="737"/>
      <c r="E6" s="737"/>
      <c r="F6" s="737"/>
      <c r="G6" s="738">
        <v>0.1</v>
      </c>
      <c r="H6" s="551"/>
      <c r="I6" s="745"/>
      <c r="M6" s="746"/>
    </row>
    <row r="7" spans="1:13">
      <c r="A7" s="751"/>
      <c r="B7" s="752" t="s">
        <v>735</v>
      </c>
      <c r="C7" s="737"/>
      <c r="D7" s="737"/>
      <c r="E7" s="737"/>
      <c r="F7" s="737"/>
      <c r="G7" s="738">
        <f>'Model Assumptions'!AF9</f>
        <v>0</v>
      </c>
      <c r="H7" s="551"/>
      <c r="I7" s="745"/>
      <c r="M7" s="746"/>
    </row>
    <row r="8" spans="1:13">
      <c r="A8" s="751"/>
      <c r="B8" s="752"/>
      <c r="C8" s="737"/>
      <c r="D8" s="737"/>
      <c r="E8" s="737"/>
      <c r="F8" s="737"/>
      <c r="G8" s="738"/>
      <c r="H8" s="551"/>
      <c r="I8" s="745"/>
      <c r="M8" s="746"/>
    </row>
    <row r="9" spans="1:13">
      <c r="A9" s="751" t="s">
        <v>732</v>
      </c>
      <c r="B9" s="753"/>
      <c r="C9" s="753"/>
      <c r="D9" s="753"/>
      <c r="E9" s="753"/>
      <c r="F9" s="753"/>
      <c r="G9" s="754"/>
      <c r="H9" s="551"/>
      <c r="I9" s="745"/>
      <c r="M9" s="746"/>
    </row>
    <row r="10" spans="1:13">
      <c r="A10" s="751"/>
      <c r="B10" s="752" t="s">
        <v>861</v>
      </c>
      <c r="C10" s="737"/>
      <c r="D10" s="737"/>
      <c r="E10" s="737"/>
      <c r="F10" s="737"/>
      <c r="G10" s="738">
        <v>0.6</v>
      </c>
      <c r="H10" s="551"/>
      <c r="I10" s="745"/>
      <c r="M10" s="746"/>
    </row>
    <row r="11" spans="1:13">
      <c r="A11" s="751"/>
      <c r="B11" s="752" t="s">
        <v>862</v>
      </c>
      <c r="C11" s="737"/>
      <c r="D11" s="737"/>
      <c r="E11" s="737"/>
      <c r="F11" s="737"/>
      <c r="G11" s="738">
        <v>0.5</v>
      </c>
      <c r="H11" s="551"/>
      <c r="I11" s="745"/>
      <c r="M11" s="746"/>
    </row>
    <row r="12" spans="1:13">
      <c r="A12" s="751"/>
      <c r="B12" s="752" t="s">
        <v>863</v>
      </c>
      <c r="C12" s="737"/>
      <c r="D12" s="737"/>
      <c r="E12" s="737"/>
      <c r="F12" s="737"/>
      <c r="G12" s="738">
        <v>0.05</v>
      </c>
      <c r="H12" s="551"/>
      <c r="I12" s="745"/>
      <c r="M12" s="746"/>
    </row>
    <row r="13" spans="1:13">
      <c r="A13" s="751"/>
      <c r="B13" s="752" t="s">
        <v>736</v>
      </c>
      <c r="C13" s="737"/>
      <c r="D13" s="737"/>
      <c r="E13" s="737"/>
      <c r="F13" s="737"/>
      <c r="G13" s="738">
        <v>0.01</v>
      </c>
      <c r="H13" s="551"/>
      <c r="I13" s="745"/>
      <c r="M13" s="746"/>
    </row>
    <row r="14" spans="1:13" ht="16" thickBot="1">
      <c r="A14" s="755"/>
      <c r="B14" s="756" t="s">
        <v>729</v>
      </c>
      <c r="C14" s="739"/>
      <c r="D14" s="739"/>
      <c r="E14" s="739"/>
      <c r="F14" s="739"/>
      <c r="G14" s="740">
        <v>0.5</v>
      </c>
      <c r="H14" s="551"/>
      <c r="I14" s="745"/>
      <c r="M14" s="746"/>
    </row>
    <row r="15" spans="1:13" ht="16" thickBot="1">
      <c r="D15" s="543"/>
      <c r="E15" s="551"/>
      <c r="I15" s="746"/>
    </row>
    <row r="16" spans="1:13" ht="16" thickBot="1">
      <c r="A16" s="1155" t="s">
        <v>991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7"/>
    </row>
    <row r="17" spans="1:13">
      <c r="A17" s="759"/>
      <c r="B17" s="760"/>
      <c r="C17" s="761"/>
      <c r="D17" s="760"/>
      <c r="E17" s="761"/>
      <c r="F17" s="762"/>
      <c r="G17" s="763"/>
      <c r="H17" s="764"/>
      <c r="I17" s="763"/>
      <c r="J17" s="764"/>
      <c r="K17" s="764"/>
      <c r="L17" s="763"/>
      <c r="M17" s="765"/>
    </row>
    <row r="18" spans="1:13">
      <c r="A18" s="759" t="s">
        <v>874</v>
      </c>
      <c r="B18" s="760"/>
      <c r="C18" s="766" t="s">
        <v>1041</v>
      </c>
      <c r="D18" s="760"/>
      <c r="E18" s="767"/>
      <c r="F18" s="762"/>
      <c r="G18" s="763"/>
      <c r="H18" s="764"/>
      <c r="I18" s="763"/>
      <c r="J18" s="768"/>
      <c r="K18" s="764"/>
      <c r="L18" s="763"/>
      <c r="M18" s="765"/>
    </row>
    <row r="19" spans="1:13">
      <c r="A19" s="759" t="s">
        <v>876</v>
      </c>
      <c r="B19" s="760"/>
      <c r="C19" s="766">
        <v>46539</v>
      </c>
      <c r="D19" s="760"/>
      <c r="E19" s="767"/>
      <c r="F19" s="762"/>
      <c r="G19" s="763"/>
      <c r="H19" s="764"/>
      <c r="I19" s="763"/>
      <c r="J19" s="768"/>
      <c r="K19" s="764"/>
      <c r="L19" s="763"/>
      <c r="M19" s="765"/>
    </row>
    <row r="20" spans="1:13" ht="16" thickBot="1">
      <c r="A20" s="759"/>
      <c r="B20" s="760"/>
      <c r="C20" s="761"/>
      <c r="D20" s="760"/>
      <c r="E20" s="761"/>
      <c r="F20" s="762"/>
      <c r="G20" s="763"/>
      <c r="H20" s="764"/>
      <c r="I20" s="763"/>
      <c r="J20" s="764"/>
      <c r="K20" s="764"/>
      <c r="L20" s="763"/>
      <c r="M20" s="765"/>
    </row>
    <row r="21" spans="1:13" ht="16" thickBot="1">
      <c r="A21" s="1155" t="s">
        <v>877</v>
      </c>
      <c r="B21" s="1156"/>
      <c r="C21" s="1156"/>
      <c r="D21" s="1156"/>
      <c r="E21" s="1156"/>
      <c r="F21" s="1156"/>
      <c r="G21" s="1156"/>
      <c r="H21" s="1156"/>
      <c r="I21" s="1156"/>
      <c r="J21" s="1156"/>
      <c r="K21" s="1156"/>
      <c r="L21" s="1156"/>
      <c r="M21" s="1157"/>
    </row>
    <row r="22" spans="1:13">
      <c r="A22" s="769" t="s">
        <v>878</v>
      </c>
      <c r="B22" s="770"/>
      <c r="C22" s="770" t="s">
        <v>879</v>
      </c>
      <c r="D22" s="770"/>
      <c r="E22" s="770" t="s">
        <v>880</v>
      </c>
      <c r="F22" s="771"/>
      <c r="G22" s="772" t="s">
        <v>881</v>
      </c>
      <c r="H22" s="773"/>
      <c r="I22" s="772" t="s">
        <v>515</v>
      </c>
      <c r="J22" s="773"/>
      <c r="K22" s="773" t="s">
        <v>516</v>
      </c>
      <c r="L22" s="772"/>
      <c r="M22" s="774" t="s">
        <v>517</v>
      </c>
    </row>
    <row r="23" spans="1:13" ht="16">
      <c r="A23" s="759" t="s">
        <v>169</v>
      </c>
      <c r="B23" s="775"/>
      <c r="C23" s="776" t="s">
        <v>882</v>
      </c>
      <c r="D23" s="777"/>
      <c r="E23" s="778">
        <v>149.99</v>
      </c>
      <c r="F23" s="779"/>
      <c r="G23" s="780">
        <v>1200</v>
      </c>
      <c r="H23" s="781"/>
      <c r="I23" s="780">
        <v>12</v>
      </c>
      <c r="J23" s="780"/>
      <c r="K23" s="780">
        <v>12</v>
      </c>
      <c r="L23" s="780"/>
      <c r="M23" s="782">
        <v>5</v>
      </c>
    </row>
    <row r="24" spans="1:13">
      <c r="A24" s="759" t="s">
        <v>883</v>
      </c>
      <c r="B24" s="775"/>
      <c r="C24" s="777" t="s">
        <v>884</v>
      </c>
      <c r="D24" s="777"/>
      <c r="E24" s="778">
        <v>0</v>
      </c>
      <c r="F24" s="779"/>
      <c r="G24" s="780">
        <v>0</v>
      </c>
      <c r="H24" s="780"/>
      <c r="I24" s="780">
        <v>0</v>
      </c>
      <c r="J24" s="780"/>
      <c r="K24" s="780">
        <v>0</v>
      </c>
      <c r="L24" s="780"/>
      <c r="M24" s="783">
        <v>0</v>
      </c>
    </row>
    <row r="25" spans="1:13">
      <c r="A25" s="759" t="s">
        <v>885</v>
      </c>
      <c r="B25" s="775"/>
      <c r="C25" s="777" t="s">
        <v>882</v>
      </c>
      <c r="D25" s="777"/>
      <c r="E25" s="778">
        <v>24.99</v>
      </c>
      <c r="F25" s="779"/>
      <c r="G25" s="780">
        <v>750</v>
      </c>
      <c r="H25" s="780"/>
      <c r="I25" s="780">
        <v>40</v>
      </c>
      <c r="J25" s="780"/>
      <c r="K25" s="780">
        <v>8</v>
      </c>
      <c r="L25" s="780"/>
      <c r="M25" s="783">
        <v>4</v>
      </c>
    </row>
    <row r="26" spans="1:13">
      <c r="A26" s="759" t="s">
        <v>886</v>
      </c>
      <c r="B26" s="775"/>
      <c r="C26" s="777" t="s">
        <v>884</v>
      </c>
      <c r="D26" s="777"/>
      <c r="E26" s="778">
        <v>0</v>
      </c>
      <c r="F26" s="779"/>
      <c r="G26" s="780">
        <v>0</v>
      </c>
      <c r="H26" s="780"/>
      <c r="I26" s="780">
        <v>0</v>
      </c>
      <c r="J26" s="780"/>
      <c r="K26" s="780">
        <v>0</v>
      </c>
      <c r="L26" s="780"/>
      <c r="M26" s="783">
        <v>0</v>
      </c>
    </row>
    <row r="27" spans="1:13" ht="16" thickBot="1">
      <c r="A27" s="784" t="s">
        <v>992</v>
      </c>
      <c r="B27" s="785"/>
      <c r="C27" s="786" t="s">
        <v>884</v>
      </c>
      <c r="D27" s="786"/>
      <c r="E27" s="787">
        <v>0</v>
      </c>
      <c r="F27" s="788"/>
      <c r="G27" s="789">
        <v>0</v>
      </c>
      <c r="H27" s="789"/>
      <c r="I27" s="789">
        <v>0</v>
      </c>
      <c r="J27" s="789"/>
      <c r="K27" s="789">
        <v>0</v>
      </c>
      <c r="L27" s="789"/>
      <c r="M27" s="790">
        <v>0</v>
      </c>
    </row>
    <row r="28" spans="1:13" ht="16" thickBot="1">
      <c r="B28" s="757"/>
      <c r="D28" s="791"/>
      <c r="G28" s="792"/>
      <c r="I28" s="793"/>
      <c r="L28" s="792"/>
    </row>
    <row r="29" spans="1:13" ht="16" thickBot="1">
      <c r="A29" s="1158" t="s">
        <v>993</v>
      </c>
      <c r="B29" s="1159"/>
      <c r="C29" s="1159"/>
      <c r="D29" s="1159"/>
      <c r="E29" s="1159"/>
      <c r="F29" s="1159"/>
      <c r="G29" s="1159"/>
      <c r="H29" s="1159"/>
      <c r="I29" s="1159"/>
      <c r="J29" s="1159"/>
      <c r="K29" s="1159"/>
      <c r="L29" s="1159"/>
      <c r="M29" s="1160"/>
    </row>
    <row r="30" spans="1:13">
      <c r="A30" s="795"/>
      <c r="B30" s="796"/>
      <c r="C30" s="797"/>
      <c r="D30" s="796"/>
      <c r="E30" s="797"/>
      <c r="F30" s="798"/>
      <c r="G30" s="799"/>
      <c r="H30" s="800"/>
      <c r="I30" s="799"/>
      <c r="J30" s="800"/>
      <c r="K30" s="800"/>
      <c r="L30" s="799"/>
      <c r="M30" s="801"/>
    </row>
    <row r="31" spans="1:13">
      <c r="A31" s="795" t="s">
        <v>874</v>
      </c>
      <c r="B31" s="796"/>
      <c r="C31" s="797" t="s">
        <v>1055</v>
      </c>
      <c r="D31" s="796"/>
      <c r="E31" s="797"/>
      <c r="F31" s="798"/>
      <c r="G31" s="799"/>
      <c r="H31" s="800"/>
      <c r="I31" s="799"/>
      <c r="J31" s="800"/>
      <c r="K31" s="800"/>
      <c r="L31" s="799"/>
      <c r="M31" s="801"/>
    </row>
    <row r="32" spans="1:13">
      <c r="A32" s="795" t="s">
        <v>876</v>
      </c>
      <c r="B32" s="796"/>
      <c r="C32" s="802">
        <v>46905</v>
      </c>
      <c r="D32" s="796"/>
      <c r="E32" s="803"/>
      <c r="F32" s="798"/>
      <c r="G32" s="799"/>
      <c r="H32" s="800"/>
      <c r="I32" s="799"/>
      <c r="J32" s="804"/>
      <c r="K32" s="800"/>
      <c r="L32" s="799"/>
      <c r="M32" s="801"/>
    </row>
    <row r="33" spans="1:13" ht="16" thickBot="1">
      <c r="A33" s="795"/>
      <c r="B33" s="796"/>
      <c r="C33" s="797"/>
      <c r="D33" s="796"/>
      <c r="E33" s="797"/>
      <c r="F33" s="798"/>
      <c r="G33" s="799"/>
      <c r="H33" s="800"/>
      <c r="I33" s="799"/>
      <c r="J33" s="800"/>
      <c r="K33" s="800"/>
      <c r="L33" s="799"/>
      <c r="M33" s="801"/>
    </row>
    <row r="34" spans="1:13" ht="16" thickBot="1">
      <c r="A34" s="1158" t="s">
        <v>877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60"/>
    </row>
    <row r="35" spans="1:13">
      <c r="A35" s="805" t="s">
        <v>878</v>
      </c>
      <c r="B35" s="806"/>
      <c r="C35" s="806" t="s">
        <v>879</v>
      </c>
      <c r="D35" s="806"/>
      <c r="E35" s="806" t="s">
        <v>880</v>
      </c>
      <c r="F35" s="807"/>
      <c r="G35" s="808" t="s">
        <v>881</v>
      </c>
      <c r="H35" s="809"/>
      <c r="I35" s="808" t="s">
        <v>515</v>
      </c>
      <c r="J35" s="809"/>
      <c r="K35" s="809" t="s">
        <v>516</v>
      </c>
      <c r="L35" s="808"/>
      <c r="M35" s="810" t="s">
        <v>517</v>
      </c>
    </row>
    <row r="36" spans="1:13" ht="16">
      <c r="A36" s="795" t="s">
        <v>169</v>
      </c>
      <c r="B36" s="811"/>
      <c r="C36" s="812" t="s">
        <v>882</v>
      </c>
      <c r="D36" s="813"/>
      <c r="E36" s="814">
        <v>149.99</v>
      </c>
      <c r="F36" s="815"/>
      <c r="G36" s="816">
        <v>800</v>
      </c>
      <c r="H36" s="817"/>
      <c r="I36" s="816">
        <v>12</v>
      </c>
      <c r="J36" s="816"/>
      <c r="K36" s="816">
        <v>12</v>
      </c>
      <c r="L36" s="816"/>
      <c r="M36" s="818">
        <v>5</v>
      </c>
    </row>
    <row r="37" spans="1:13">
      <c r="A37" s="795" t="s">
        <v>883</v>
      </c>
      <c r="B37" s="811"/>
      <c r="C37" s="813" t="s">
        <v>884</v>
      </c>
      <c r="D37" s="813"/>
      <c r="E37" s="814">
        <v>0</v>
      </c>
      <c r="F37" s="815"/>
      <c r="G37" s="816">
        <v>0</v>
      </c>
      <c r="H37" s="816"/>
      <c r="I37" s="816">
        <v>0</v>
      </c>
      <c r="J37" s="816"/>
      <c r="K37" s="816">
        <v>0</v>
      </c>
      <c r="L37" s="816"/>
      <c r="M37" s="819">
        <v>0</v>
      </c>
    </row>
    <row r="38" spans="1:13" s="820" customFormat="1">
      <c r="A38" s="795" t="s">
        <v>885</v>
      </c>
      <c r="B38" s="811"/>
      <c r="C38" s="813" t="s">
        <v>882</v>
      </c>
      <c r="D38" s="813"/>
      <c r="E38" s="814">
        <v>24.99</v>
      </c>
      <c r="F38" s="815"/>
      <c r="G38" s="816">
        <v>500</v>
      </c>
      <c r="H38" s="816"/>
      <c r="I38" s="816">
        <v>40</v>
      </c>
      <c r="J38" s="816"/>
      <c r="K38" s="816">
        <v>8</v>
      </c>
      <c r="L38" s="816"/>
      <c r="M38" s="819">
        <v>4</v>
      </c>
    </row>
    <row r="39" spans="1:13">
      <c r="A39" s="795" t="s">
        <v>886</v>
      </c>
      <c r="B39" s="811"/>
      <c r="C39" s="813" t="s">
        <v>884</v>
      </c>
      <c r="D39" s="813"/>
      <c r="E39" s="814">
        <v>0</v>
      </c>
      <c r="F39" s="815"/>
      <c r="G39" s="816">
        <v>0</v>
      </c>
      <c r="H39" s="816"/>
      <c r="I39" s="816">
        <v>0</v>
      </c>
      <c r="J39" s="816"/>
      <c r="K39" s="816">
        <v>0</v>
      </c>
      <c r="L39" s="816"/>
      <c r="M39" s="819">
        <v>0</v>
      </c>
    </row>
    <row r="40" spans="1:13" ht="16" thickBot="1">
      <c r="A40" s="822" t="s">
        <v>992</v>
      </c>
      <c r="B40" s="823"/>
      <c r="C40" s="824" t="s">
        <v>884</v>
      </c>
      <c r="D40" s="824"/>
      <c r="E40" s="825">
        <v>0</v>
      </c>
      <c r="F40" s="826"/>
      <c r="G40" s="827">
        <v>0</v>
      </c>
      <c r="H40" s="827"/>
      <c r="I40" s="827">
        <v>0</v>
      </c>
      <c r="J40" s="827"/>
      <c r="K40" s="827">
        <v>0</v>
      </c>
      <c r="L40" s="827"/>
      <c r="M40" s="828">
        <v>0</v>
      </c>
    </row>
    <row r="41" spans="1:13" ht="16" thickBot="1">
      <c r="B41" s="757"/>
      <c r="C41" s="551"/>
      <c r="D41" s="551"/>
      <c r="E41" s="551"/>
      <c r="G41" s="792"/>
      <c r="H41" s="746"/>
      <c r="I41" s="746"/>
      <c r="L41" s="792"/>
      <c r="M41" s="746"/>
    </row>
    <row r="42" spans="1:13" ht="16" thickBot="1">
      <c r="A42" s="1161" t="s">
        <v>994</v>
      </c>
      <c r="B42" s="1162"/>
      <c r="C42" s="1162"/>
      <c r="D42" s="1162"/>
      <c r="E42" s="1162"/>
      <c r="F42" s="1162"/>
      <c r="G42" s="1162"/>
      <c r="H42" s="1162"/>
      <c r="I42" s="1162"/>
      <c r="J42" s="1162"/>
      <c r="K42" s="1162"/>
      <c r="L42" s="1162"/>
      <c r="M42" s="1163"/>
    </row>
    <row r="43" spans="1:13">
      <c r="A43" s="829"/>
      <c r="B43" s="830"/>
      <c r="C43" s="831"/>
      <c r="D43" s="830"/>
      <c r="E43" s="831"/>
      <c r="F43" s="832"/>
      <c r="G43" s="833"/>
      <c r="H43" s="834"/>
      <c r="I43" s="833"/>
      <c r="J43" s="834"/>
      <c r="K43" s="834"/>
      <c r="L43" s="833"/>
      <c r="M43" s="835"/>
    </row>
    <row r="44" spans="1:13">
      <c r="A44" s="829" t="s">
        <v>874</v>
      </c>
      <c r="B44" s="830"/>
      <c r="C44" s="831" t="s">
        <v>1042</v>
      </c>
      <c r="D44" s="830"/>
      <c r="E44" s="831"/>
      <c r="F44" s="832"/>
      <c r="G44" s="833"/>
      <c r="H44" s="834"/>
      <c r="I44" s="833"/>
      <c r="J44" s="834"/>
      <c r="K44" s="834"/>
      <c r="L44" s="833"/>
      <c r="M44" s="835"/>
    </row>
    <row r="45" spans="1:13">
      <c r="A45" s="829" t="s">
        <v>876</v>
      </c>
      <c r="B45" s="830"/>
      <c r="C45" s="836">
        <v>47270</v>
      </c>
      <c r="D45" s="830"/>
      <c r="E45" s="837"/>
      <c r="F45" s="832"/>
      <c r="G45" s="833"/>
      <c r="H45" s="834"/>
      <c r="I45" s="833"/>
      <c r="J45" s="838"/>
      <c r="K45" s="834"/>
      <c r="L45" s="833"/>
      <c r="M45" s="835"/>
    </row>
    <row r="46" spans="1:13" ht="16" thickBot="1">
      <c r="A46" s="829"/>
      <c r="B46" s="830"/>
      <c r="C46" s="831"/>
      <c r="D46" s="830"/>
      <c r="E46" s="831"/>
      <c r="F46" s="832"/>
      <c r="G46" s="833"/>
      <c r="H46" s="834"/>
      <c r="I46" s="833"/>
      <c r="J46" s="834"/>
      <c r="K46" s="834"/>
      <c r="L46" s="833"/>
      <c r="M46" s="835"/>
    </row>
    <row r="47" spans="1:13" ht="16" thickBot="1">
      <c r="A47" s="1161" t="s">
        <v>877</v>
      </c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3"/>
    </row>
    <row r="48" spans="1:13">
      <c r="A48" s="839" t="s">
        <v>878</v>
      </c>
      <c r="B48" s="840"/>
      <c r="C48" s="840" t="s">
        <v>879</v>
      </c>
      <c r="D48" s="840"/>
      <c r="E48" s="840" t="s">
        <v>880</v>
      </c>
      <c r="F48" s="841"/>
      <c r="G48" s="842" t="s">
        <v>881</v>
      </c>
      <c r="H48" s="843"/>
      <c r="I48" s="842" t="s">
        <v>515</v>
      </c>
      <c r="J48" s="843"/>
      <c r="K48" s="843" t="s">
        <v>516</v>
      </c>
      <c r="L48" s="842"/>
      <c r="M48" s="844" t="s">
        <v>517</v>
      </c>
    </row>
    <row r="49" spans="1:13" ht="16">
      <c r="A49" s="829" t="s">
        <v>169</v>
      </c>
      <c r="B49" s="845"/>
      <c r="C49" s="846" t="s">
        <v>882</v>
      </c>
      <c r="D49" s="847"/>
      <c r="E49" s="848">
        <v>149.99</v>
      </c>
      <c r="F49" s="849"/>
      <c r="G49" s="850">
        <v>800</v>
      </c>
      <c r="H49" s="851"/>
      <c r="I49" s="850">
        <v>12</v>
      </c>
      <c r="J49" s="850"/>
      <c r="K49" s="850">
        <v>12</v>
      </c>
      <c r="L49" s="850"/>
      <c r="M49" s="852">
        <v>5</v>
      </c>
    </row>
    <row r="50" spans="1:13">
      <c r="A50" s="829" t="s">
        <v>883</v>
      </c>
      <c r="B50" s="845"/>
      <c r="C50" s="847" t="s">
        <v>884</v>
      </c>
      <c r="D50" s="847"/>
      <c r="E50" s="848">
        <v>0</v>
      </c>
      <c r="F50" s="849"/>
      <c r="G50" s="850">
        <v>0</v>
      </c>
      <c r="H50" s="850"/>
      <c r="I50" s="850">
        <v>0</v>
      </c>
      <c r="J50" s="850"/>
      <c r="K50" s="850">
        <v>0</v>
      </c>
      <c r="L50" s="850"/>
      <c r="M50" s="853">
        <v>0</v>
      </c>
    </row>
    <row r="51" spans="1:13">
      <c r="A51" s="829" t="s">
        <v>885</v>
      </c>
      <c r="B51" s="845"/>
      <c r="C51" s="847" t="s">
        <v>882</v>
      </c>
      <c r="D51" s="847"/>
      <c r="E51" s="848">
        <v>24.99</v>
      </c>
      <c r="F51" s="849"/>
      <c r="G51" s="850">
        <v>500</v>
      </c>
      <c r="H51" s="850"/>
      <c r="I51" s="850">
        <v>40</v>
      </c>
      <c r="J51" s="850"/>
      <c r="K51" s="850">
        <v>8</v>
      </c>
      <c r="L51" s="850"/>
      <c r="M51" s="853">
        <v>4</v>
      </c>
    </row>
    <row r="52" spans="1:13" s="619" customFormat="1">
      <c r="A52" s="829" t="s">
        <v>886</v>
      </c>
      <c r="B52" s="845"/>
      <c r="C52" s="847" t="s">
        <v>884</v>
      </c>
      <c r="D52" s="847"/>
      <c r="E52" s="848">
        <v>0</v>
      </c>
      <c r="F52" s="849"/>
      <c r="G52" s="850">
        <v>0</v>
      </c>
      <c r="H52" s="850"/>
      <c r="I52" s="850">
        <v>0</v>
      </c>
      <c r="J52" s="850"/>
      <c r="K52" s="850">
        <v>0</v>
      </c>
      <c r="L52" s="850"/>
      <c r="M52" s="853">
        <v>0</v>
      </c>
    </row>
    <row r="53" spans="1:13" s="619" customFormat="1" ht="16" thickBot="1">
      <c r="A53" s="854" t="s">
        <v>992</v>
      </c>
      <c r="B53" s="855"/>
      <c r="C53" s="856" t="s">
        <v>884</v>
      </c>
      <c r="D53" s="856"/>
      <c r="E53" s="857">
        <v>0</v>
      </c>
      <c r="F53" s="858"/>
      <c r="G53" s="859">
        <v>0</v>
      </c>
      <c r="H53" s="859"/>
      <c r="I53" s="859">
        <v>0</v>
      </c>
      <c r="J53" s="859"/>
      <c r="K53" s="859">
        <v>0</v>
      </c>
      <c r="L53" s="859"/>
      <c r="M53" s="860">
        <v>0</v>
      </c>
    </row>
    <row r="54" spans="1:13" s="619" customFormat="1" ht="16" thickBot="1">
      <c r="A54" s="556"/>
      <c r="B54" s="791"/>
      <c r="C54" s="556"/>
      <c r="D54" s="791"/>
      <c r="E54" s="558"/>
      <c r="F54" s="745"/>
      <c r="G54" s="793"/>
      <c r="H54" s="747"/>
      <c r="I54" s="793"/>
      <c r="J54" s="747"/>
      <c r="K54" s="747"/>
      <c r="L54" s="793"/>
      <c r="M54" s="747"/>
    </row>
    <row r="55" spans="1:13" s="619" customFormat="1" ht="16" thickBot="1">
      <c r="A55" s="1148" t="s">
        <v>995</v>
      </c>
      <c r="B55" s="1149"/>
      <c r="C55" s="1149"/>
      <c r="D55" s="1149"/>
      <c r="E55" s="1149"/>
      <c r="F55" s="1149"/>
      <c r="G55" s="1149"/>
      <c r="H55" s="1149"/>
      <c r="I55" s="1149"/>
      <c r="J55" s="1149"/>
      <c r="K55" s="1149"/>
      <c r="L55" s="1149"/>
      <c r="M55" s="1150"/>
    </row>
    <row r="56" spans="1:13" s="619" customFormat="1">
      <c r="A56" s="861"/>
      <c r="B56" s="862"/>
      <c r="C56" s="863"/>
      <c r="D56" s="862"/>
      <c r="E56" s="863"/>
      <c r="F56" s="864"/>
      <c r="G56" s="865"/>
      <c r="H56" s="866"/>
      <c r="I56" s="865"/>
      <c r="J56" s="866"/>
      <c r="K56" s="866"/>
      <c r="L56" s="865"/>
      <c r="M56" s="867"/>
    </row>
    <row r="57" spans="1:13" s="619" customFormat="1">
      <c r="A57" s="861" t="s">
        <v>874</v>
      </c>
      <c r="B57" s="862"/>
      <c r="C57" s="863" t="s">
        <v>1056</v>
      </c>
      <c r="D57" s="862"/>
      <c r="E57" s="863"/>
      <c r="F57" s="864"/>
      <c r="G57" s="865"/>
      <c r="H57" s="866"/>
      <c r="I57" s="865"/>
      <c r="J57" s="866"/>
      <c r="K57" s="866"/>
      <c r="L57" s="865"/>
      <c r="M57" s="867"/>
    </row>
    <row r="58" spans="1:13" s="619" customFormat="1">
      <c r="A58" s="861" t="s">
        <v>876</v>
      </c>
      <c r="B58" s="862"/>
      <c r="C58" s="868">
        <v>47635</v>
      </c>
      <c r="D58" s="862"/>
      <c r="E58" s="869"/>
      <c r="F58" s="864"/>
      <c r="G58" s="865"/>
      <c r="H58" s="866"/>
      <c r="I58" s="865"/>
      <c r="J58" s="870"/>
      <c r="K58" s="866"/>
      <c r="L58" s="865"/>
      <c r="M58" s="867"/>
    </row>
    <row r="59" spans="1:13" s="619" customFormat="1" ht="16" thickBot="1">
      <c r="A59" s="861"/>
      <c r="B59" s="862"/>
      <c r="C59" s="863"/>
      <c r="D59" s="862"/>
      <c r="E59" s="863"/>
      <c r="F59" s="864"/>
      <c r="G59" s="865"/>
      <c r="H59" s="866"/>
      <c r="I59" s="865"/>
      <c r="J59" s="866"/>
      <c r="K59" s="866"/>
      <c r="L59" s="865"/>
      <c r="M59" s="867"/>
    </row>
    <row r="60" spans="1:13" s="619" customFormat="1" ht="16" thickBot="1">
      <c r="A60" s="1148" t="s">
        <v>877</v>
      </c>
      <c r="B60" s="1149"/>
      <c r="C60" s="1149"/>
      <c r="D60" s="1149"/>
      <c r="E60" s="1149"/>
      <c r="F60" s="1149"/>
      <c r="G60" s="1149"/>
      <c r="H60" s="1149"/>
      <c r="I60" s="1149"/>
      <c r="J60" s="1149"/>
      <c r="K60" s="1149"/>
      <c r="L60" s="1149"/>
      <c r="M60" s="1150"/>
    </row>
    <row r="61" spans="1:13" s="619" customFormat="1">
      <c r="A61" s="871" t="s">
        <v>878</v>
      </c>
      <c r="B61" s="872"/>
      <c r="C61" s="872" t="s">
        <v>879</v>
      </c>
      <c r="D61" s="872"/>
      <c r="E61" s="872" t="s">
        <v>880</v>
      </c>
      <c r="F61" s="873"/>
      <c r="G61" s="874" t="s">
        <v>881</v>
      </c>
      <c r="H61" s="875"/>
      <c r="I61" s="874" t="s">
        <v>515</v>
      </c>
      <c r="J61" s="875"/>
      <c r="K61" s="875" t="s">
        <v>516</v>
      </c>
      <c r="L61" s="874"/>
      <c r="M61" s="876" t="s">
        <v>517</v>
      </c>
    </row>
    <row r="62" spans="1:13" s="619" customFormat="1">
      <c r="A62" s="861" t="s">
        <v>169</v>
      </c>
      <c r="B62" s="877"/>
      <c r="C62" s="878" t="s">
        <v>882</v>
      </c>
      <c r="D62" s="878"/>
      <c r="E62" s="879">
        <v>149.99</v>
      </c>
      <c r="F62" s="880"/>
      <c r="G62" s="881">
        <v>800</v>
      </c>
      <c r="H62" s="882"/>
      <c r="I62" s="881">
        <v>12</v>
      </c>
      <c r="J62" s="881"/>
      <c r="K62" s="881">
        <v>12</v>
      </c>
      <c r="L62" s="881"/>
      <c r="M62" s="883">
        <v>5</v>
      </c>
    </row>
    <row r="63" spans="1:13" s="619" customFormat="1">
      <c r="A63" s="861" t="s">
        <v>883</v>
      </c>
      <c r="B63" s="877"/>
      <c r="C63" s="878" t="s">
        <v>884</v>
      </c>
      <c r="D63" s="878"/>
      <c r="E63" s="879">
        <v>0</v>
      </c>
      <c r="F63" s="880"/>
      <c r="G63" s="881">
        <v>0</v>
      </c>
      <c r="H63" s="881"/>
      <c r="I63" s="881">
        <v>0</v>
      </c>
      <c r="J63" s="881"/>
      <c r="K63" s="881">
        <v>0</v>
      </c>
      <c r="L63" s="881"/>
      <c r="M63" s="884">
        <v>0</v>
      </c>
    </row>
    <row r="64" spans="1:13" s="619" customFormat="1">
      <c r="A64" s="861" t="s">
        <v>885</v>
      </c>
      <c r="B64" s="877"/>
      <c r="C64" s="878" t="s">
        <v>882</v>
      </c>
      <c r="D64" s="878"/>
      <c r="E64" s="879">
        <v>24.99</v>
      </c>
      <c r="F64" s="880"/>
      <c r="G64" s="881">
        <v>500</v>
      </c>
      <c r="H64" s="881"/>
      <c r="I64" s="881">
        <v>40</v>
      </c>
      <c r="J64" s="881"/>
      <c r="K64" s="881">
        <v>8</v>
      </c>
      <c r="L64" s="881"/>
      <c r="M64" s="884">
        <v>4</v>
      </c>
    </row>
    <row r="65" spans="1:13" s="619" customFormat="1">
      <c r="A65" s="861" t="s">
        <v>886</v>
      </c>
      <c r="B65" s="877"/>
      <c r="C65" s="878" t="s">
        <v>884</v>
      </c>
      <c r="D65" s="878"/>
      <c r="E65" s="879">
        <v>0</v>
      </c>
      <c r="F65" s="880"/>
      <c r="G65" s="881">
        <v>0</v>
      </c>
      <c r="H65" s="881"/>
      <c r="I65" s="881">
        <v>0</v>
      </c>
      <c r="J65" s="881"/>
      <c r="K65" s="881">
        <v>0</v>
      </c>
      <c r="L65" s="881"/>
      <c r="M65" s="884">
        <v>0</v>
      </c>
    </row>
    <row r="66" spans="1:13" ht="16" thickBot="1">
      <c r="A66" s="886" t="s">
        <v>992</v>
      </c>
      <c r="B66" s="887"/>
      <c r="C66" s="888" t="s">
        <v>884</v>
      </c>
      <c r="D66" s="888"/>
      <c r="E66" s="889">
        <v>0</v>
      </c>
      <c r="F66" s="890"/>
      <c r="G66" s="891">
        <v>0</v>
      </c>
      <c r="H66" s="891"/>
      <c r="I66" s="891">
        <v>0</v>
      </c>
      <c r="J66" s="891"/>
      <c r="K66" s="891">
        <v>0</v>
      </c>
      <c r="L66" s="891"/>
      <c r="M66" s="892">
        <v>0</v>
      </c>
    </row>
    <row r="67" spans="1:13" ht="16" thickBot="1"/>
    <row r="68" spans="1:13" ht="16" thickBot="1">
      <c r="A68" s="1151" t="s">
        <v>996</v>
      </c>
      <c r="B68" s="1152"/>
      <c r="C68" s="1152"/>
      <c r="D68" s="1152"/>
      <c r="E68" s="1152"/>
      <c r="F68" s="1152"/>
      <c r="G68" s="1152"/>
      <c r="H68" s="1152"/>
      <c r="I68" s="1152"/>
      <c r="J68" s="1152"/>
      <c r="K68" s="1152"/>
      <c r="L68" s="1152"/>
      <c r="M68" s="1153"/>
    </row>
    <row r="69" spans="1:13">
      <c r="A69" s="893"/>
      <c r="B69" s="894"/>
      <c r="C69" s="895"/>
      <c r="D69" s="894"/>
      <c r="E69" s="895"/>
      <c r="F69" s="896"/>
      <c r="G69" s="897"/>
      <c r="H69" s="898"/>
      <c r="I69" s="897"/>
      <c r="J69" s="898"/>
      <c r="K69" s="898"/>
      <c r="L69" s="897"/>
      <c r="M69" s="899"/>
    </row>
    <row r="70" spans="1:13">
      <c r="A70" s="893" t="s">
        <v>874</v>
      </c>
      <c r="B70" s="894"/>
      <c r="C70" s="895" t="s">
        <v>1024</v>
      </c>
      <c r="D70" s="894"/>
      <c r="E70" s="895"/>
      <c r="F70" s="896"/>
      <c r="G70" s="897"/>
      <c r="H70" s="898"/>
      <c r="I70" s="897"/>
      <c r="J70" s="898"/>
      <c r="K70" s="898"/>
      <c r="L70" s="897"/>
      <c r="M70" s="899"/>
    </row>
    <row r="71" spans="1:13">
      <c r="A71" s="893" t="s">
        <v>876</v>
      </c>
      <c r="B71" s="894"/>
      <c r="C71" s="900" t="s">
        <v>1024</v>
      </c>
      <c r="D71" s="894"/>
      <c r="E71" s="901"/>
      <c r="F71" s="896"/>
      <c r="G71" s="897"/>
      <c r="H71" s="898"/>
      <c r="I71" s="897"/>
      <c r="J71" s="902"/>
      <c r="K71" s="898"/>
      <c r="L71" s="897"/>
      <c r="M71" s="899"/>
    </row>
    <row r="72" spans="1:13" ht="16" thickBot="1">
      <c r="A72" s="893"/>
      <c r="B72" s="894"/>
      <c r="C72" s="895"/>
      <c r="D72" s="894"/>
      <c r="E72" s="895"/>
      <c r="F72" s="896"/>
      <c r="G72" s="897"/>
      <c r="H72" s="898"/>
      <c r="I72" s="897"/>
      <c r="J72" s="898"/>
      <c r="K72" s="898"/>
      <c r="L72" s="897"/>
      <c r="M72" s="899"/>
    </row>
    <row r="73" spans="1:13" ht="16" thickBot="1">
      <c r="A73" s="1151" t="s">
        <v>877</v>
      </c>
      <c r="B73" s="1152"/>
      <c r="C73" s="1152"/>
      <c r="D73" s="1152"/>
      <c r="E73" s="1152"/>
      <c r="F73" s="1152"/>
      <c r="G73" s="1152"/>
      <c r="H73" s="1152"/>
      <c r="I73" s="1152"/>
      <c r="J73" s="1152"/>
      <c r="K73" s="1152"/>
      <c r="L73" s="1152"/>
      <c r="M73" s="1153"/>
    </row>
    <row r="74" spans="1:13">
      <c r="A74" s="903" t="s">
        <v>878</v>
      </c>
      <c r="B74" s="904"/>
      <c r="C74" s="904" t="s">
        <v>879</v>
      </c>
      <c r="D74" s="904"/>
      <c r="E74" s="904" t="s">
        <v>880</v>
      </c>
      <c r="F74" s="905"/>
      <c r="G74" s="906" t="s">
        <v>881</v>
      </c>
      <c r="H74" s="907"/>
      <c r="I74" s="906" t="s">
        <v>515</v>
      </c>
      <c r="J74" s="907"/>
      <c r="K74" s="907" t="s">
        <v>516</v>
      </c>
      <c r="L74" s="906"/>
      <c r="M74" s="908" t="s">
        <v>517</v>
      </c>
    </row>
    <row r="75" spans="1:13">
      <c r="A75" s="893" t="s">
        <v>169</v>
      </c>
      <c r="B75" s="909"/>
      <c r="C75" s="910" t="s">
        <v>884</v>
      </c>
      <c r="D75" s="910"/>
      <c r="E75" s="911">
        <v>0</v>
      </c>
      <c r="F75" s="912"/>
      <c r="G75" s="913">
        <v>0</v>
      </c>
      <c r="H75" s="914"/>
      <c r="I75" s="913">
        <v>0</v>
      </c>
      <c r="J75" s="913"/>
      <c r="K75" s="913">
        <v>0</v>
      </c>
      <c r="L75" s="913"/>
      <c r="M75" s="915">
        <v>0</v>
      </c>
    </row>
    <row r="76" spans="1:13">
      <c r="A76" s="893" t="s">
        <v>883</v>
      </c>
      <c r="B76" s="909"/>
      <c r="C76" s="910" t="s">
        <v>882</v>
      </c>
      <c r="D76" s="910"/>
      <c r="E76" s="911">
        <v>0</v>
      </c>
      <c r="F76" s="912"/>
      <c r="G76" s="913">
        <v>0</v>
      </c>
      <c r="H76" s="913"/>
      <c r="I76" s="913">
        <v>0</v>
      </c>
      <c r="J76" s="913"/>
      <c r="K76" s="913">
        <v>0</v>
      </c>
      <c r="L76" s="913"/>
      <c r="M76" s="916">
        <v>0</v>
      </c>
    </row>
    <row r="77" spans="1:13">
      <c r="A77" s="893" t="s">
        <v>885</v>
      </c>
      <c r="B77" s="909"/>
      <c r="C77" s="910" t="s">
        <v>882</v>
      </c>
      <c r="D77" s="910"/>
      <c r="E77" s="911">
        <v>0</v>
      </c>
      <c r="F77" s="912"/>
      <c r="G77" s="913">
        <v>0</v>
      </c>
      <c r="H77" s="913"/>
      <c r="I77" s="913">
        <v>0</v>
      </c>
      <c r="J77" s="913"/>
      <c r="K77" s="913">
        <v>0</v>
      </c>
      <c r="L77" s="913"/>
      <c r="M77" s="916">
        <v>0</v>
      </c>
    </row>
    <row r="78" spans="1:13">
      <c r="A78" s="893" t="s">
        <v>886</v>
      </c>
      <c r="B78" s="909"/>
      <c r="C78" s="910" t="s">
        <v>884</v>
      </c>
      <c r="D78" s="910"/>
      <c r="E78" s="911">
        <v>0</v>
      </c>
      <c r="F78" s="912"/>
      <c r="G78" s="913">
        <v>0</v>
      </c>
      <c r="H78" s="913"/>
      <c r="I78" s="913">
        <v>0</v>
      </c>
      <c r="J78" s="913"/>
      <c r="K78" s="913">
        <v>0</v>
      </c>
      <c r="L78" s="913"/>
      <c r="M78" s="916">
        <v>0</v>
      </c>
    </row>
    <row r="79" spans="1:13" ht="16" thickBot="1">
      <c r="A79" s="917" t="s">
        <v>992</v>
      </c>
      <c r="B79" s="918"/>
      <c r="C79" s="919" t="s">
        <v>882</v>
      </c>
      <c r="D79" s="919"/>
      <c r="E79" s="920">
        <v>0</v>
      </c>
      <c r="F79" s="921"/>
      <c r="G79" s="922">
        <v>0</v>
      </c>
      <c r="H79" s="922"/>
      <c r="I79" s="922">
        <v>0</v>
      </c>
      <c r="J79" s="922"/>
      <c r="K79" s="922">
        <v>0</v>
      </c>
      <c r="L79" s="922"/>
      <c r="M79" s="923">
        <v>0</v>
      </c>
    </row>
    <row r="80" spans="1:13" ht="16" thickBot="1"/>
    <row r="81" spans="1:13" ht="16" thickBot="1">
      <c r="A81" s="1145" t="s">
        <v>997</v>
      </c>
      <c r="B81" s="1146"/>
      <c r="C81" s="1146"/>
      <c r="D81" s="1146"/>
      <c r="E81" s="1146"/>
      <c r="F81" s="1146"/>
      <c r="G81" s="1146"/>
      <c r="H81" s="1146"/>
      <c r="I81" s="1146"/>
      <c r="J81" s="1146"/>
      <c r="K81" s="1146"/>
      <c r="L81" s="1146"/>
      <c r="M81" s="1147"/>
    </row>
    <row r="82" spans="1:13">
      <c r="A82" s="924"/>
      <c r="B82" s="925"/>
      <c r="C82" s="926"/>
      <c r="D82" s="925"/>
      <c r="E82" s="926"/>
      <c r="F82" s="927"/>
      <c r="G82" s="928"/>
      <c r="H82" s="929"/>
      <c r="I82" s="928"/>
      <c r="J82" s="929"/>
      <c r="K82" s="929"/>
      <c r="L82" s="928"/>
      <c r="M82" s="930"/>
    </row>
    <row r="83" spans="1:13">
      <c r="A83" s="924" t="s">
        <v>874</v>
      </c>
      <c r="B83" s="925"/>
      <c r="C83" s="926" t="s">
        <v>1024</v>
      </c>
      <c r="D83" s="925"/>
      <c r="E83" s="926"/>
      <c r="F83" s="927"/>
      <c r="G83" s="928"/>
      <c r="H83" s="929"/>
      <c r="I83" s="928"/>
      <c r="J83" s="929"/>
      <c r="K83" s="929"/>
      <c r="L83" s="928"/>
      <c r="M83" s="930"/>
    </row>
    <row r="84" spans="1:13">
      <c r="A84" s="924" t="s">
        <v>876</v>
      </c>
      <c r="B84" s="925"/>
      <c r="C84" s="931" t="s">
        <v>1024</v>
      </c>
      <c r="D84" s="925"/>
      <c r="E84" s="932"/>
      <c r="F84" s="927"/>
      <c r="G84" s="928"/>
      <c r="H84" s="929"/>
      <c r="I84" s="928"/>
      <c r="J84" s="933"/>
      <c r="K84" s="929"/>
      <c r="L84" s="928"/>
      <c r="M84" s="930"/>
    </row>
    <row r="85" spans="1:13" ht="16" thickBot="1">
      <c r="A85" s="924"/>
      <c r="B85" s="925"/>
      <c r="C85" s="926"/>
      <c r="D85" s="925"/>
      <c r="E85" s="926"/>
      <c r="F85" s="927"/>
      <c r="G85" s="928"/>
      <c r="H85" s="929"/>
      <c r="I85" s="928"/>
      <c r="J85" s="929"/>
      <c r="K85" s="929"/>
      <c r="L85" s="928"/>
      <c r="M85" s="930"/>
    </row>
    <row r="86" spans="1:13" ht="16" thickBot="1">
      <c r="A86" s="1145" t="s">
        <v>877</v>
      </c>
      <c r="B86" s="1146"/>
      <c r="C86" s="1146"/>
      <c r="D86" s="1146"/>
      <c r="E86" s="1146"/>
      <c r="F86" s="1146"/>
      <c r="G86" s="1146"/>
      <c r="H86" s="1146"/>
      <c r="I86" s="1146"/>
      <c r="J86" s="1146"/>
      <c r="K86" s="1146"/>
      <c r="L86" s="1146"/>
      <c r="M86" s="1147"/>
    </row>
    <row r="87" spans="1:13">
      <c r="A87" s="934" t="s">
        <v>878</v>
      </c>
      <c r="B87" s="935"/>
      <c r="C87" s="935" t="s">
        <v>879</v>
      </c>
      <c r="D87" s="935"/>
      <c r="E87" s="935" t="s">
        <v>880</v>
      </c>
      <c r="F87" s="936"/>
      <c r="G87" s="937" t="s">
        <v>881</v>
      </c>
      <c r="H87" s="938"/>
      <c r="I87" s="937" t="s">
        <v>515</v>
      </c>
      <c r="J87" s="938"/>
      <c r="K87" s="938" t="s">
        <v>516</v>
      </c>
      <c r="L87" s="937"/>
      <c r="M87" s="939" t="s">
        <v>517</v>
      </c>
    </row>
    <row r="88" spans="1:13">
      <c r="A88" s="924" t="s">
        <v>169</v>
      </c>
      <c r="B88" s="940"/>
      <c r="C88" s="941" t="s">
        <v>884</v>
      </c>
      <c r="D88" s="941"/>
      <c r="E88" s="942">
        <v>0</v>
      </c>
      <c r="F88" s="943"/>
      <c r="G88" s="944">
        <v>0</v>
      </c>
      <c r="H88" s="945"/>
      <c r="I88" s="944">
        <v>0</v>
      </c>
      <c r="J88" s="944"/>
      <c r="K88" s="944">
        <v>0</v>
      </c>
      <c r="L88" s="944"/>
      <c r="M88" s="946">
        <v>0</v>
      </c>
    </row>
    <row r="89" spans="1:13">
      <c r="A89" s="924" t="s">
        <v>883</v>
      </c>
      <c r="B89" s="940"/>
      <c r="C89" s="941" t="s">
        <v>882</v>
      </c>
      <c r="D89" s="941"/>
      <c r="E89" s="942">
        <v>0</v>
      </c>
      <c r="F89" s="943"/>
      <c r="G89" s="944">
        <v>0</v>
      </c>
      <c r="H89" s="944"/>
      <c r="I89" s="944">
        <v>0</v>
      </c>
      <c r="J89" s="944"/>
      <c r="K89" s="944">
        <v>0</v>
      </c>
      <c r="L89" s="944"/>
      <c r="M89" s="947">
        <v>0</v>
      </c>
    </row>
    <row r="90" spans="1:13">
      <c r="A90" s="924" t="s">
        <v>885</v>
      </c>
      <c r="B90" s="940"/>
      <c r="C90" s="941" t="s">
        <v>882</v>
      </c>
      <c r="D90" s="941"/>
      <c r="E90" s="942">
        <v>0</v>
      </c>
      <c r="F90" s="943"/>
      <c r="G90" s="944">
        <v>0</v>
      </c>
      <c r="H90" s="944"/>
      <c r="I90" s="944">
        <v>0</v>
      </c>
      <c r="J90" s="944"/>
      <c r="K90" s="944">
        <v>0</v>
      </c>
      <c r="L90" s="944"/>
      <c r="M90" s="947">
        <v>0</v>
      </c>
    </row>
    <row r="91" spans="1:13">
      <c r="A91" s="924" t="s">
        <v>886</v>
      </c>
      <c r="B91" s="940"/>
      <c r="C91" s="941" t="s">
        <v>884</v>
      </c>
      <c r="D91" s="941"/>
      <c r="E91" s="942">
        <v>0</v>
      </c>
      <c r="F91" s="943"/>
      <c r="G91" s="944">
        <v>0</v>
      </c>
      <c r="H91" s="944"/>
      <c r="I91" s="944">
        <v>0</v>
      </c>
      <c r="J91" s="944"/>
      <c r="K91" s="944">
        <v>0</v>
      </c>
      <c r="L91" s="944"/>
      <c r="M91" s="947">
        <v>0</v>
      </c>
    </row>
    <row r="92" spans="1:13" ht="16" thickBot="1">
      <c r="A92" s="948" t="s">
        <v>992</v>
      </c>
      <c r="B92" s="949"/>
      <c r="C92" s="950" t="s">
        <v>882</v>
      </c>
      <c r="D92" s="950"/>
      <c r="E92" s="951">
        <v>0</v>
      </c>
      <c r="F92" s="952"/>
      <c r="G92" s="953">
        <v>0</v>
      </c>
      <c r="H92" s="953"/>
      <c r="I92" s="953">
        <v>0</v>
      </c>
      <c r="J92" s="953"/>
      <c r="K92" s="953">
        <v>0</v>
      </c>
      <c r="L92" s="953"/>
      <c r="M92" s="954">
        <v>0</v>
      </c>
    </row>
    <row r="93" spans="1:13" ht="16" thickBot="1"/>
    <row r="94" spans="1:13" ht="16" thickBot="1">
      <c r="A94" s="1148" t="s">
        <v>554</v>
      </c>
      <c r="B94" s="1149"/>
      <c r="C94" s="1149"/>
      <c r="D94" s="1149"/>
      <c r="E94" s="1149"/>
      <c r="F94" s="1149"/>
      <c r="G94" s="1149"/>
      <c r="H94" s="1149"/>
      <c r="I94" s="1149"/>
      <c r="J94" s="1149"/>
      <c r="K94" s="1149"/>
      <c r="L94" s="1149"/>
      <c r="M94" s="1150"/>
    </row>
    <row r="95" spans="1:13">
      <c r="A95" s="861"/>
      <c r="B95" s="862"/>
      <c r="C95" s="863"/>
      <c r="D95" s="862"/>
      <c r="E95" s="863"/>
      <c r="F95" s="864"/>
      <c r="G95" s="865"/>
      <c r="H95" s="866"/>
      <c r="I95" s="865"/>
      <c r="J95" s="866"/>
      <c r="K95" s="866"/>
      <c r="L95" s="865"/>
      <c r="M95" s="867"/>
    </row>
    <row r="96" spans="1:13">
      <c r="A96" s="861" t="s">
        <v>874</v>
      </c>
      <c r="B96" s="862"/>
      <c r="C96" s="863"/>
      <c r="D96" s="862"/>
      <c r="E96" s="863"/>
      <c r="F96" s="864"/>
      <c r="G96" s="865"/>
      <c r="H96" s="866"/>
      <c r="I96" s="865"/>
      <c r="J96" s="866"/>
      <c r="K96" s="866"/>
      <c r="L96" s="865"/>
      <c r="M96" s="867"/>
    </row>
    <row r="97" spans="1:13">
      <c r="A97" s="861" t="s">
        <v>876</v>
      </c>
      <c r="B97" s="862"/>
      <c r="C97" s="868"/>
      <c r="D97" s="862"/>
      <c r="E97" s="869"/>
      <c r="F97" s="864"/>
      <c r="G97" s="865"/>
      <c r="H97" s="866"/>
      <c r="I97" s="865"/>
      <c r="J97" s="870"/>
      <c r="K97" s="866"/>
      <c r="L97" s="865"/>
      <c r="M97" s="867"/>
    </row>
    <row r="98" spans="1:13" ht="16" thickBot="1">
      <c r="A98" s="861"/>
      <c r="B98" s="862"/>
      <c r="C98" s="863"/>
      <c r="D98" s="862"/>
      <c r="E98" s="863"/>
      <c r="F98" s="864"/>
      <c r="G98" s="865"/>
      <c r="H98" s="866"/>
      <c r="I98" s="865"/>
      <c r="J98" s="866"/>
      <c r="K98" s="866"/>
      <c r="L98" s="865"/>
      <c r="M98" s="867"/>
    </row>
    <row r="99" spans="1:13" ht="16" thickBot="1">
      <c r="A99" s="1148" t="s">
        <v>877</v>
      </c>
      <c r="B99" s="1149"/>
      <c r="C99" s="1149"/>
      <c r="D99" s="1149"/>
      <c r="E99" s="1149"/>
      <c r="F99" s="1149"/>
      <c r="G99" s="1149"/>
      <c r="H99" s="1149"/>
      <c r="I99" s="1149"/>
      <c r="J99" s="1149"/>
      <c r="K99" s="1149"/>
      <c r="L99" s="1149"/>
      <c r="M99" s="1150"/>
    </row>
    <row r="100" spans="1:13">
      <c r="A100" s="871" t="s">
        <v>878</v>
      </c>
      <c r="B100" s="872"/>
      <c r="C100" s="872" t="s">
        <v>879</v>
      </c>
      <c r="D100" s="872"/>
      <c r="E100" s="872" t="s">
        <v>880</v>
      </c>
      <c r="F100" s="873"/>
      <c r="G100" s="874" t="s">
        <v>881</v>
      </c>
      <c r="H100" s="875"/>
      <c r="I100" s="874" t="s">
        <v>515</v>
      </c>
      <c r="J100" s="875"/>
      <c r="K100" s="875" t="s">
        <v>516</v>
      </c>
      <c r="L100" s="874"/>
      <c r="M100" s="876" t="s">
        <v>517</v>
      </c>
    </row>
    <row r="101" spans="1:13">
      <c r="A101" s="861" t="s">
        <v>169</v>
      </c>
      <c r="B101" s="877"/>
      <c r="C101" s="878" t="s">
        <v>882</v>
      </c>
      <c r="D101" s="878"/>
      <c r="E101" s="879"/>
      <c r="F101" s="880"/>
      <c r="G101" s="881"/>
      <c r="H101" s="882"/>
      <c r="I101" s="881"/>
      <c r="J101" s="881"/>
      <c r="K101" s="881"/>
      <c r="L101" s="881"/>
      <c r="M101" s="883"/>
    </row>
    <row r="102" spans="1:13">
      <c r="A102" s="861" t="s">
        <v>883</v>
      </c>
      <c r="B102" s="877"/>
      <c r="C102" s="878" t="s">
        <v>884</v>
      </c>
      <c r="D102" s="878"/>
      <c r="E102" s="879"/>
      <c r="F102" s="880"/>
      <c r="G102" s="881"/>
      <c r="H102" s="881"/>
      <c r="I102" s="881"/>
      <c r="J102" s="881"/>
      <c r="K102" s="881"/>
      <c r="L102" s="881"/>
      <c r="M102" s="884"/>
    </row>
    <row r="103" spans="1:13">
      <c r="A103" s="861" t="s">
        <v>885</v>
      </c>
      <c r="B103" s="877"/>
      <c r="C103" s="878" t="s">
        <v>882</v>
      </c>
      <c r="D103" s="878"/>
      <c r="E103" s="879"/>
      <c r="F103" s="880"/>
      <c r="G103" s="881"/>
      <c r="H103" s="881"/>
      <c r="I103" s="881"/>
      <c r="J103" s="881"/>
      <c r="K103" s="881"/>
      <c r="L103" s="881"/>
      <c r="M103" s="884"/>
    </row>
    <row r="104" spans="1:13">
      <c r="A104" s="861" t="s">
        <v>886</v>
      </c>
      <c r="B104" s="877"/>
      <c r="C104" s="878" t="s">
        <v>882</v>
      </c>
      <c r="D104" s="878"/>
      <c r="E104" s="879"/>
      <c r="F104" s="880"/>
      <c r="G104" s="881"/>
      <c r="H104" s="881"/>
      <c r="I104" s="881"/>
      <c r="J104" s="881"/>
      <c r="K104" s="881"/>
      <c r="L104" s="881"/>
      <c r="M104" s="884"/>
    </row>
    <row r="105" spans="1:13" ht="16" thickBot="1">
      <c r="A105" s="886" t="s">
        <v>992</v>
      </c>
      <c r="B105" s="887"/>
      <c r="C105" s="888" t="s">
        <v>882</v>
      </c>
      <c r="D105" s="888"/>
      <c r="E105" s="889"/>
      <c r="F105" s="890"/>
      <c r="G105" s="891"/>
      <c r="H105" s="891"/>
      <c r="I105" s="891"/>
      <c r="J105" s="891"/>
      <c r="K105" s="891"/>
      <c r="L105" s="891"/>
      <c r="M105" s="892"/>
    </row>
    <row r="106" spans="1:13" ht="16" thickBot="1"/>
    <row r="107" spans="1:13" ht="16" thickBot="1">
      <c r="A107" s="1151" t="s">
        <v>555</v>
      </c>
      <c r="B107" s="1152"/>
      <c r="C107" s="1152"/>
      <c r="D107" s="1152"/>
      <c r="E107" s="1152"/>
      <c r="F107" s="1152"/>
      <c r="G107" s="1152"/>
      <c r="H107" s="1152"/>
      <c r="I107" s="1152"/>
      <c r="J107" s="1152"/>
      <c r="K107" s="1152"/>
      <c r="L107" s="1152"/>
      <c r="M107" s="1153"/>
    </row>
    <row r="108" spans="1:13">
      <c r="A108" s="893"/>
      <c r="B108" s="894"/>
      <c r="C108" s="895"/>
      <c r="D108" s="894"/>
      <c r="E108" s="895"/>
      <c r="F108" s="896"/>
      <c r="G108" s="897"/>
      <c r="H108" s="898"/>
      <c r="I108" s="897"/>
      <c r="J108" s="898"/>
      <c r="K108" s="898"/>
      <c r="L108" s="897"/>
      <c r="M108" s="899"/>
    </row>
    <row r="109" spans="1:13">
      <c r="A109" s="893" t="s">
        <v>874</v>
      </c>
      <c r="B109" s="894"/>
      <c r="C109" s="895"/>
      <c r="D109" s="894"/>
      <c r="E109" s="895"/>
      <c r="F109" s="896"/>
      <c r="G109" s="897"/>
      <c r="H109" s="898"/>
      <c r="I109" s="897"/>
      <c r="J109" s="898"/>
      <c r="K109" s="898"/>
      <c r="L109" s="897"/>
      <c r="M109" s="899"/>
    </row>
    <row r="110" spans="1:13">
      <c r="A110" s="893" t="s">
        <v>876</v>
      </c>
      <c r="B110" s="894"/>
      <c r="C110" s="900"/>
      <c r="D110" s="894"/>
      <c r="E110" s="901"/>
      <c r="F110" s="896"/>
      <c r="G110" s="897"/>
      <c r="H110" s="898"/>
      <c r="I110" s="897"/>
      <c r="J110" s="902"/>
      <c r="K110" s="898"/>
      <c r="L110" s="897"/>
      <c r="M110" s="899"/>
    </row>
    <row r="111" spans="1:13" ht="16" thickBot="1">
      <c r="A111" s="893"/>
      <c r="B111" s="894"/>
      <c r="C111" s="895"/>
      <c r="D111" s="894"/>
      <c r="E111" s="895"/>
      <c r="F111" s="896"/>
      <c r="G111" s="897"/>
      <c r="H111" s="898"/>
      <c r="I111" s="897"/>
      <c r="J111" s="898"/>
      <c r="K111" s="898"/>
      <c r="L111" s="897"/>
      <c r="M111" s="899"/>
    </row>
    <row r="112" spans="1:13" ht="16" thickBot="1">
      <c r="A112" s="1151" t="s">
        <v>877</v>
      </c>
      <c r="B112" s="1152"/>
      <c r="C112" s="1152"/>
      <c r="D112" s="1152"/>
      <c r="E112" s="1152"/>
      <c r="F112" s="1152"/>
      <c r="G112" s="1152"/>
      <c r="H112" s="1152"/>
      <c r="I112" s="1152"/>
      <c r="J112" s="1152"/>
      <c r="K112" s="1152"/>
      <c r="L112" s="1152"/>
      <c r="M112" s="1153"/>
    </row>
    <row r="113" spans="1:13">
      <c r="A113" s="903" t="s">
        <v>878</v>
      </c>
      <c r="B113" s="904"/>
      <c r="C113" s="904" t="s">
        <v>879</v>
      </c>
      <c r="D113" s="904"/>
      <c r="E113" s="904" t="s">
        <v>880</v>
      </c>
      <c r="F113" s="905"/>
      <c r="G113" s="906" t="s">
        <v>881</v>
      </c>
      <c r="H113" s="907"/>
      <c r="I113" s="906" t="s">
        <v>515</v>
      </c>
      <c r="J113" s="907"/>
      <c r="K113" s="907" t="s">
        <v>516</v>
      </c>
      <c r="L113" s="906"/>
      <c r="M113" s="908" t="s">
        <v>517</v>
      </c>
    </row>
    <row r="114" spans="1:13">
      <c r="A114" s="893" t="s">
        <v>169</v>
      </c>
      <c r="B114" s="909"/>
      <c r="C114" s="910" t="s">
        <v>882</v>
      </c>
      <c r="D114" s="910"/>
      <c r="E114" s="911"/>
      <c r="F114" s="912"/>
      <c r="G114" s="913"/>
      <c r="H114" s="914"/>
      <c r="I114" s="913"/>
      <c r="J114" s="913"/>
      <c r="K114" s="913"/>
      <c r="L114" s="913"/>
      <c r="M114" s="915"/>
    </row>
    <row r="115" spans="1:13">
      <c r="A115" s="893" t="s">
        <v>883</v>
      </c>
      <c r="B115" s="909"/>
      <c r="C115" s="910" t="s">
        <v>882</v>
      </c>
      <c r="D115" s="910"/>
      <c r="E115" s="911"/>
      <c r="F115" s="912"/>
      <c r="G115" s="913"/>
      <c r="H115" s="913"/>
      <c r="I115" s="913"/>
      <c r="J115" s="913"/>
      <c r="K115" s="913"/>
      <c r="L115" s="913"/>
      <c r="M115" s="916"/>
    </row>
    <row r="116" spans="1:13">
      <c r="A116" s="893" t="s">
        <v>885</v>
      </c>
      <c r="B116" s="909"/>
      <c r="C116" s="910" t="s">
        <v>882</v>
      </c>
      <c r="D116" s="910"/>
      <c r="E116" s="911"/>
      <c r="F116" s="912"/>
      <c r="G116" s="913"/>
      <c r="H116" s="913"/>
      <c r="I116" s="913"/>
      <c r="J116" s="913"/>
      <c r="K116" s="913"/>
      <c r="L116" s="913"/>
      <c r="M116" s="916"/>
    </row>
    <row r="117" spans="1:13">
      <c r="A117" s="893" t="s">
        <v>886</v>
      </c>
      <c r="B117" s="909"/>
      <c r="C117" s="910" t="s">
        <v>882</v>
      </c>
      <c r="D117" s="910"/>
      <c r="E117" s="911"/>
      <c r="F117" s="912"/>
      <c r="G117" s="913"/>
      <c r="H117" s="913"/>
      <c r="I117" s="913"/>
      <c r="J117" s="913"/>
      <c r="K117" s="913"/>
      <c r="L117" s="913"/>
      <c r="M117" s="916"/>
    </row>
    <row r="118" spans="1:13" ht="16" thickBot="1">
      <c r="A118" s="917" t="s">
        <v>992</v>
      </c>
      <c r="B118" s="918"/>
      <c r="C118" s="919" t="s">
        <v>882</v>
      </c>
      <c r="D118" s="919"/>
      <c r="E118" s="920"/>
      <c r="F118" s="921"/>
      <c r="G118" s="922"/>
      <c r="H118" s="922"/>
      <c r="I118" s="922"/>
      <c r="J118" s="922"/>
      <c r="K118" s="922"/>
      <c r="L118" s="922"/>
      <c r="M118" s="923"/>
    </row>
    <row r="119" spans="1:13" ht="16" thickBot="1"/>
    <row r="120" spans="1:13" ht="16" thickBot="1">
      <c r="A120" s="1145" t="s">
        <v>556</v>
      </c>
      <c r="B120" s="1146"/>
      <c r="C120" s="1146"/>
      <c r="D120" s="1146"/>
      <c r="E120" s="1146"/>
      <c r="F120" s="1146"/>
      <c r="G120" s="1146"/>
      <c r="H120" s="1146"/>
      <c r="I120" s="1146"/>
      <c r="J120" s="1146"/>
      <c r="K120" s="1146"/>
      <c r="L120" s="1146"/>
      <c r="M120" s="1147"/>
    </row>
    <row r="121" spans="1:13">
      <c r="A121" s="924"/>
      <c r="B121" s="925"/>
      <c r="C121" s="926"/>
      <c r="D121" s="925"/>
      <c r="E121" s="926"/>
      <c r="F121" s="927"/>
      <c r="G121" s="928"/>
      <c r="H121" s="929"/>
      <c r="I121" s="928"/>
      <c r="J121" s="929"/>
      <c r="K121" s="929"/>
      <c r="L121" s="928"/>
      <c r="M121" s="930"/>
    </row>
    <row r="122" spans="1:13">
      <c r="A122" s="924" t="s">
        <v>874</v>
      </c>
      <c r="B122" s="925"/>
      <c r="C122" s="926"/>
      <c r="D122" s="925"/>
      <c r="E122" s="926"/>
      <c r="F122" s="927"/>
      <c r="G122" s="928"/>
      <c r="H122" s="929"/>
      <c r="I122" s="928"/>
      <c r="J122" s="929"/>
      <c r="K122" s="929"/>
      <c r="L122" s="928"/>
      <c r="M122" s="930"/>
    </row>
    <row r="123" spans="1:13">
      <c r="A123" s="924" t="s">
        <v>876</v>
      </c>
      <c r="B123" s="925"/>
      <c r="C123" s="931"/>
      <c r="D123" s="925"/>
      <c r="E123" s="932"/>
      <c r="F123" s="927"/>
      <c r="G123" s="928"/>
      <c r="H123" s="929"/>
      <c r="I123" s="928"/>
      <c r="J123" s="933"/>
      <c r="K123" s="929"/>
      <c r="L123" s="928"/>
      <c r="M123" s="930"/>
    </row>
    <row r="124" spans="1:13" ht="16" thickBot="1">
      <c r="A124" s="924"/>
      <c r="B124" s="925"/>
      <c r="C124" s="926"/>
      <c r="D124" s="925"/>
      <c r="E124" s="926"/>
      <c r="F124" s="927"/>
      <c r="G124" s="928"/>
      <c r="H124" s="929"/>
      <c r="I124" s="928"/>
      <c r="J124" s="929"/>
      <c r="K124" s="929"/>
      <c r="L124" s="928"/>
      <c r="M124" s="930"/>
    </row>
    <row r="125" spans="1:13" ht="16" thickBot="1">
      <c r="A125" s="1145" t="s">
        <v>877</v>
      </c>
      <c r="B125" s="1146"/>
      <c r="C125" s="1146"/>
      <c r="D125" s="1146"/>
      <c r="E125" s="1146"/>
      <c r="F125" s="1146"/>
      <c r="G125" s="1146"/>
      <c r="H125" s="1146"/>
      <c r="I125" s="1146"/>
      <c r="J125" s="1146"/>
      <c r="K125" s="1146"/>
      <c r="L125" s="1146"/>
      <c r="M125" s="1147"/>
    </row>
    <row r="126" spans="1:13">
      <c r="A126" s="934" t="s">
        <v>878</v>
      </c>
      <c r="B126" s="935"/>
      <c r="C126" s="935" t="s">
        <v>879</v>
      </c>
      <c r="D126" s="935"/>
      <c r="E126" s="935" t="s">
        <v>880</v>
      </c>
      <c r="F126" s="936"/>
      <c r="G126" s="937" t="s">
        <v>881</v>
      </c>
      <c r="H126" s="938"/>
      <c r="I126" s="937" t="s">
        <v>515</v>
      </c>
      <c r="J126" s="938"/>
      <c r="K126" s="938" t="s">
        <v>516</v>
      </c>
      <c r="L126" s="937"/>
      <c r="M126" s="939" t="s">
        <v>517</v>
      </c>
    </row>
    <row r="127" spans="1:13">
      <c r="A127" s="924" t="s">
        <v>169</v>
      </c>
      <c r="B127" s="940"/>
      <c r="C127" s="941" t="s">
        <v>882</v>
      </c>
      <c r="D127" s="941"/>
      <c r="E127" s="942"/>
      <c r="F127" s="943"/>
      <c r="G127" s="944"/>
      <c r="H127" s="945"/>
      <c r="I127" s="944"/>
      <c r="J127" s="944"/>
      <c r="K127" s="944"/>
      <c r="L127" s="944"/>
      <c r="M127" s="946"/>
    </row>
    <row r="128" spans="1:13">
      <c r="A128" s="924" t="s">
        <v>883</v>
      </c>
      <c r="B128" s="940"/>
      <c r="C128" s="941" t="s">
        <v>884</v>
      </c>
      <c r="D128" s="941"/>
      <c r="E128" s="942"/>
      <c r="F128" s="943"/>
      <c r="G128" s="944"/>
      <c r="H128" s="944"/>
      <c r="I128" s="944"/>
      <c r="J128" s="944"/>
      <c r="K128" s="944"/>
      <c r="L128" s="944"/>
      <c r="M128" s="947"/>
    </row>
    <row r="129" spans="1:13">
      <c r="A129" s="924" t="s">
        <v>885</v>
      </c>
      <c r="B129" s="940"/>
      <c r="C129" s="941" t="s">
        <v>884</v>
      </c>
      <c r="D129" s="941"/>
      <c r="E129" s="942"/>
      <c r="F129" s="943"/>
      <c r="G129" s="944"/>
      <c r="H129" s="944"/>
      <c r="I129" s="944"/>
      <c r="J129" s="944"/>
      <c r="K129" s="944"/>
      <c r="L129" s="944"/>
      <c r="M129" s="947"/>
    </row>
    <row r="130" spans="1:13">
      <c r="A130" s="924" t="s">
        <v>886</v>
      </c>
      <c r="B130" s="940"/>
      <c r="C130" s="941" t="s">
        <v>884</v>
      </c>
      <c r="D130" s="941"/>
      <c r="E130" s="942"/>
      <c r="F130" s="943"/>
      <c r="G130" s="944"/>
      <c r="H130" s="944"/>
      <c r="I130" s="944"/>
      <c r="J130" s="944"/>
      <c r="K130" s="944"/>
      <c r="L130" s="944"/>
      <c r="M130" s="947"/>
    </row>
    <row r="131" spans="1:13" ht="16" thickBot="1">
      <c r="A131" s="948" t="s">
        <v>992</v>
      </c>
      <c r="B131" s="949"/>
      <c r="C131" s="950" t="s">
        <v>884</v>
      </c>
      <c r="D131" s="950"/>
      <c r="E131" s="951"/>
      <c r="F131" s="952"/>
      <c r="G131" s="953"/>
      <c r="H131" s="953"/>
      <c r="I131" s="953"/>
      <c r="J131" s="953"/>
      <c r="K131" s="953"/>
      <c r="L131" s="953"/>
      <c r="M131" s="954"/>
    </row>
  </sheetData>
  <mergeCells count="19">
    <mergeCell ref="A29:M29"/>
    <mergeCell ref="A34:M34"/>
    <mergeCell ref="A42:M42"/>
    <mergeCell ref="A1:M1"/>
    <mergeCell ref="A16:M16"/>
    <mergeCell ref="A21:M21"/>
    <mergeCell ref="A68:M68"/>
    <mergeCell ref="A73:M73"/>
    <mergeCell ref="A81:M81"/>
    <mergeCell ref="A47:M47"/>
    <mergeCell ref="A55:M55"/>
    <mergeCell ref="A60:M60"/>
    <mergeCell ref="A125:M125"/>
    <mergeCell ref="A107:M107"/>
    <mergeCell ref="A112:M112"/>
    <mergeCell ref="A120:M120"/>
    <mergeCell ref="A86:M86"/>
    <mergeCell ref="A94:M94"/>
    <mergeCell ref="A99:M99"/>
  </mergeCells>
  <pageMargins left="0.7" right="0.7" top="0.75" bottom="0.75" header="0.3" footer="0.3"/>
  <pageSetup orientation="portrait" horizontalDpi="0" verticalDpi="0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66094-A14A-584B-8031-633AEA9A082E}">
  <dimension ref="A2:BP106"/>
  <sheetViews>
    <sheetView zoomScaleNormal="100" workbookViewId="0">
      <selection activeCell="A3" sqref="A3"/>
    </sheetView>
  </sheetViews>
  <sheetFormatPr baseColWidth="10" defaultColWidth="9.1640625" defaultRowHeight="15"/>
  <cols>
    <col min="1" max="1" width="33.83203125" style="669" bestFit="1" customWidth="1"/>
    <col min="2" max="2" width="18.83203125" style="669" bestFit="1" customWidth="1"/>
    <col min="3" max="3" width="15" style="669" bestFit="1" customWidth="1"/>
    <col min="4" max="4" width="14.5" style="669" bestFit="1" customWidth="1"/>
    <col min="5" max="5" width="8.33203125" style="669" bestFit="1" customWidth="1"/>
    <col min="6" max="6" width="26.33203125" style="669" bestFit="1" customWidth="1"/>
    <col min="7" max="7" width="18.83203125" style="669" bestFit="1" customWidth="1"/>
    <col min="8" max="8" width="15" style="669" bestFit="1" customWidth="1"/>
    <col min="9" max="9" width="16.6640625" style="669" bestFit="1" customWidth="1"/>
    <col min="10" max="10" width="12.6640625" style="669" bestFit="1" customWidth="1"/>
    <col min="11" max="11" width="22.5" style="669" bestFit="1" customWidth="1"/>
    <col min="12" max="12" width="17.1640625" style="669" bestFit="1" customWidth="1"/>
    <col min="13" max="13" width="16.83203125" style="669" bestFit="1" customWidth="1"/>
    <col min="14" max="14" width="18.6640625" style="669" bestFit="1" customWidth="1"/>
    <col min="15" max="15" width="11.1640625" style="669" bestFit="1" customWidth="1"/>
    <col min="16" max="16" width="22.33203125" style="669" bestFit="1" customWidth="1"/>
    <col min="17" max="17" width="12.83203125" style="669" bestFit="1" customWidth="1"/>
    <col min="18" max="18" width="18.83203125" style="669" bestFit="1" customWidth="1"/>
    <col min="19" max="19" width="14.33203125" style="669" bestFit="1" customWidth="1"/>
    <col min="20" max="20" width="10.33203125" style="669" bestFit="1" customWidth="1"/>
    <col min="21" max="21" width="24.6640625" style="669" bestFit="1" customWidth="1"/>
    <col min="22" max="22" width="18.83203125" style="669" bestFit="1" customWidth="1"/>
    <col min="23" max="23" width="15.33203125" style="669" bestFit="1" customWidth="1"/>
    <col min="24" max="24" width="14.33203125" style="669" bestFit="1" customWidth="1"/>
    <col min="25" max="25" width="11.1640625" style="669" bestFit="1" customWidth="1"/>
    <col min="26" max="26" width="24.6640625" style="669" bestFit="1" customWidth="1"/>
    <col min="27" max="27" width="17.83203125" style="669" bestFit="1" customWidth="1"/>
    <col min="28" max="28" width="15.33203125" style="669" bestFit="1" customWidth="1"/>
    <col min="29" max="29" width="14.33203125" style="669" bestFit="1" customWidth="1"/>
    <col min="30" max="30" width="10.33203125" style="669" bestFit="1" customWidth="1"/>
    <col min="31" max="31" width="24.6640625" style="669" bestFit="1" customWidth="1"/>
    <col min="32" max="32" width="17.5" style="669" bestFit="1" customWidth="1"/>
    <col min="33" max="33" width="15.33203125" style="669" bestFit="1" customWidth="1"/>
    <col min="34" max="34" width="14.33203125" style="669" bestFit="1" customWidth="1"/>
    <col min="35" max="35" width="10.1640625" style="669" bestFit="1" customWidth="1"/>
    <col min="36" max="36" width="21.5" style="669" bestFit="1" customWidth="1"/>
    <col min="37" max="37" width="15.33203125" style="669" bestFit="1" customWidth="1"/>
    <col min="38" max="39" width="14.6640625" style="669" bestFit="1" customWidth="1"/>
    <col min="40" max="40" width="8.5" style="669" bestFit="1" customWidth="1"/>
    <col min="41" max="41" width="21.5" style="669" bestFit="1" customWidth="1"/>
    <col min="42" max="42" width="14.83203125" style="669" bestFit="1" customWidth="1"/>
    <col min="43" max="44" width="13.6640625" style="669" bestFit="1" customWidth="1"/>
    <col min="45" max="45" width="10.1640625" style="669" bestFit="1" customWidth="1"/>
    <col min="46" max="47" width="9.1640625" style="669"/>
    <col min="48" max="48" width="10.1640625" style="669" bestFit="1" customWidth="1"/>
    <col min="49" max="50" width="9.1640625" style="669"/>
    <col min="51" max="51" width="11.1640625" style="669" bestFit="1" customWidth="1"/>
    <col min="52" max="53" width="9.1640625" style="669"/>
    <col min="54" max="54" width="11.83203125" style="669" bestFit="1" customWidth="1"/>
    <col min="55" max="60" width="9.1640625" style="669"/>
    <col min="61" max="61" width="10.1640625" style="669" bestFit="1" customWidth="1"/>
    <col min="62" max="63" width="9.1640625" style="669"/>
    <col min="64" max="64" width="11.1640625" style="669" bestFit="1" customWidth="1"/>
    <col min="65" max="66" width="9.1640625" style="669"/>
    <col min="67" max="67" width="11.1640625" style="669" bestFit="1" customWidth="1"/>
    <col min="68" max="68" width="13.6640625" style="669" bestFit="1" customWidth="1"/>
    <col min="69" max="16384" width="9.1640625" style="669"/>
  </cols>
  <sheetData>
    <row r="2" spans="1:44" ht="16" thickBot="1">
      <c r="A2" s="667" t="s">
        <v>745</v>
      </c>
      <c r="B2" s="668"/>
      <c r="C2" s="668"/>
      <c r="D2" s="975"/>
      <c r="E2" s="668"/>
      <c r="F2" s="667" t="s">
        <v>745</v>
      </c>
      <c r="G2" s="668"/>
      <c r="H2" s="668"/>
      <c r="I2" s="668"/>
      <c r="J2" s="668"/>
      <c r="K2" s="667" t="s">
        <v>745</v>
      </c>
      <c r="L2" s="668"/>
      <c r="M2" s="668"/>
      <c r="N2" s="668"/>
      <c r="O2" s="668"/>
      <c r="P2" s="667" t="s">
        <v>745</v>
      </c>
      <c r="Q2" s="668"/>
      <c r="R2" s="668"/>
      <c r="S2" s="668"/>
      <c r="U2" s="667" t="s">
        <v>745</v>
      </c>
      <c r="V2" s="668"/>
      <c r="W2" s="668"/>
      <c r="X2" s="668"/>
      <c r="Z2" s="667" t="s">
        <v>745</v>
      </c>
      <c r="AA2" s="668"/>
      <c r="AB2" s="668"/>
      <c r="AC2" s="668"/>
      <c r="AE2" s="667" t="s">
        <v>745</v>
      </c>
      <c r="AF2" s="668"/>
      <c r="AG2" s="668"/>
      <c r="AH2" s="668"/>
      <c r="AJ2" s="667" t="s">
        <v>745</v>
      </c>
      <c r="AK2" s="668"/>
      <c r="AL2" s="668"/>
      <c r="AM2" s="668"/>
      <c r="AO2" s="667" t="s">
        <v>745</v>
      </c>
      <c r="AP2" s="668"/>
      <c r="AQ2" s="668"/>
      <c r="AR2" s="668"/>
    </row>
    <row r="3" spans="1:44" ht="34.5" customHeight="1" thickBot="1">
      <c r="A3" s="670" t="str">
        <f>'Tatsunoko Inputs'!C18</f>
        <v>2027 Tatsunoko - ROOT</v>
      </c>
      <c r="B3" s="671">
        <f>'Tatsunoko Inputs'!C19</f>
        <v>46539</v>
      </c>
      <c r="C3" s="672"/>
      <c r="D3" s="668"/>
      <c r="E3" s="668"/>
      <c r="F3" s="673" t="str">
        <f>'Tatsunoko Inputs'!C31</f>
        <v>2028 Tatsunoko - Root</v>
      </c>
      <c r="G3" s="671">
        <f>'Tatsunoko Inputs'!C32</f>
        <v>46905</v>
      </c>
      <c r="H3" s="672"/>
      <c r="I3" s="668"/>
      <c r="J3" s="668"/>
      <c r="K3" s="673" t="str">
        <f>'Tatsunoko Inputs'!C44</f>
        <v>2029 Tatsunoko - ROOT</v>
      </c>
      <c r="L3" s="671">
        <f>'Tatsunoko Inputs'!C45</f>
        <v>47270</v>
      </c>
      <c r="M3" s="672"/>
      <c r="N3" s="668"/>
      <c r="O3" s="668"/>
      <c r="P3" s="673" t="str">
        <f>'Tatsunoko Inputs'!C57</f>
        <v>2030 Tatsunoko - ROOT</v>
      </c>
      <c r="Q3" s="671">
        <f>'Tatsunoko Inputs'!C58</f>
        <v>47635</v>
      </c>
      <c r="R3" s="672"/>
      <c r="S3" s="668"/>
      <c r="U3" s="673" t="str">
        <f>'Tatsunoko Inputs'!C70</f>
        <v>N/A</v>
      </c>
      <c r="V3" s="671" t="str">
        <f>'Tatsunoko Inputs'!C71</f>
        <v>N/A</v>
      </c>
      <c r="W3" s="672"/>
      <c r="X3" s="668"/>
      <c r="Z3" s="673" t="str">
        <f>'Tatsunoko Inputs'!C83</f>
        <v>N/A</v>
      </c>
      <c r="AA3" s="671" t="str">
        <f>'Tatsunoko Inputs'!C84</f>
        <v>N/A</v>
      </c>
      <c r="AB3" s="672"/>
      <c r="AC3" s="668"/>
      <c r="AE3" s="673">
        <f>'Tatsunoko Inputs'!C96</f>
        <v>0</v>
      </c>
      <c r="AF3" s="671">
        <f>'Tatsunoko Inputs'!C97</f>
        <v>0</v>
      </c>
      <c r="AG3" s="672"/>
      <c r="AH3" s="668"/>
      <c r="AJ3" s="673">
        <f>'Tatsunoko Inputs'!C109</f>
        <v>0</v>
      </c>
      <c r="AK3" s="671">
        <f>'Tatsunoko Inputs'!C110</f>
        <v>0</v>
      </c>
      <c r="AL3" s="672"/>
      <c r="AM3" s="668"/>
      <c r="AO3" s="673">
        <f>'Tatsunoko Inputs'!C122</f>
        <v>0</v>
      </c>
      <c r="AP3" s="671">
        <f>'Tatsunoko Inputs'!C123</f>
        <v>0</v>
      </c>
      <c r="AQ3" s="672"/>
      <c r="AR3" s="668"/>
    </row>
    <row r="4" spans="1:44" ht="16" thickBot="1">
      <c r="A4" s="668"/>
      <c r="B4" s="668"/>
      <c r="C4" s="674" t="s">
        <v>754</v>
      </c>
      <c r="D4" s="675" t="s">
        <v>755</v>
      </c>
      <c r="E4" s="668"/>
      <c r="F4" s="668"/>
      <c r="G4" s="668"/>
      <c r="H4" s="674" t="s">
        <v>754</v>
      </c>
      <c r="I4" s="675" t="s">
        <v>755</v>
      </c>
      <c r="J4" s="668"/>
      <c r="K4" s="668"/>
      <c r="L4" s="668"/>
      <c r="M4" s="674" t="s">
        <v>754</v>
      </c>
      <c r="N4" s="675" t="s">
        <v>755</v>
      </c>
      <c r="O4" s="668"/>
      <c r="P4" s="668"/>
      <c r="Q4" s="668"/>
      <c r="R4" s="674" t="s">
        <v>754</v>
      </c>
      <c r="S4" s="675" t="s">
        <v>755</v>
      </c>
      <c r="T4" s="543"/>
      <c r="U4" s="668"/>
      <c r="V4" s="668"/>
      <c r="W4" s="674" t="s">
        <v>754</v>
      </c>
      <c r="X4" s="675" t="s">
        <v>755</v>
      </c>
      <c r="Z4" s="668"/>
      <c r="AA4" s="668"/>
      <c r="AB4" s="674" t="s">
        <v>754</v>
      </c>
      <c r="AC4" s="675" t="s">
        <v>755</v>
      </c>
      <c r="AE4" s="668"/>
      <c r="AF4" s="668"/>
      <c r="AG4" s="674" t="s">
        <v>754</v>
      </c>
      <c r="AH4" s="675" t="s">
        <v>755</v>
      </c>
      <c r="AJ4" s="668"/>
      <c r="AK4" s="668"/>
      <c r="AL4" s="674" t="s">
        <v>754</v>
      </c>
      <c r="AM4" s="675" t="s">
        <v>755</v>
      </c>
      <c r="AO4" s="668"/>
      <c r="AP4" s="668"/>
      <c r="AQ4" s="674" t="s">
        <v>754</v>
      </c>
      <c r="AR4" s="675" t="s">
        <v>755</v>
      </c>
    </row>
    <row r="5" spans="1:44" s="677" customFormat="1" ht="32" customHeight="1">
      <c r="A5" s="676" t="s">
        <v>756</v>
      </c>
      <c r="B5" s="1172" t="s">
        <v>18</v>
      </c>
      <c r="C5" s="1176">
        <f>'Tatsunoko Inputs'!E23</f>
        <v>149.99</v>
      </c>
      <c r="D5" s="1178">
        <f>C5*B8</f>
        <v>1799.88</v>
      </c>
      <c r="E5" s="1179"/>
      <c r="F5" s="676" t="s">
        <v>756</v>
      </c>
      <c r="G5" s="1172" t="s">
        <v>18</v>
      </c>
      <c r="H5" s="1176">
        <f>'Tatsunoko Inputs'!E36</f>
        <v>149.99</v>
      </c>
      <c r="I5" s="1178">
        <f>H5*G8</f>
        <v>1799.88</v>
      </c>
      <c r="J5" s="1179"/>
      <c r="K5" s="676" t="s">
        <v>756</v>
      </c>
      <c r="L5" s="1172" t="s">
        <v>18</v>
      </c>
      <c r="M5" s="1176">
        <f>'Tatsunoko Inputs'!E49</f>
        <v>149.99</v>
      </c>
      <c r="N5" s="1178">
        <f>M5*L8</f>
        <v>1799.88</v>
      </c>
      <c r="O5" s="1180"/>
      <c r="P5" s="676" t="s">
        <v>756</v>
      </c>
      <c r="Q5" s="1172" t="s">
        <v>18</v>
      </c>
      <c r="R5" s="1176">
        <f>'Tatsunoko Inputs'!E62</f>
        <v>149.99</v>
      </c>
      <c r="S5" s="1178">
        <f>R5*Q8</f>
        <v>1799.88</v>
      </c>
      <c r="T5" s="545"/>
      <c r="U5" s="676" t="s">
        <v>756</v>
      </c>
      <c r="V5" s="1172" t="s">
        <v>18</v>
      </c>
      <c r="W5" s="1176">
        <f>'Tatsunoko Inputs'!E75</f>
        <v>0</v>
      </c>
      <c r="X5" s="1178">
        <f>W5*V8</f>
        <v>0</v>
      </c>
      <c r="Z5" s="676" t="s">
        <v>756</v>
      </c>
      <c r="AA5" s="1172" t="s">
        <v>18</v>
      </c>
      <c r="AB5" s="1176">
        <f>'Tatsunoko Inputs'!E88</f>
        <v>0</v>
      </c>
      <c r="AC5" s="1178">
        <f>AB5*AA8</f>
        <v>0</v>
      </c>
      <c r="AE5" s="676" t="s">
        <v>756</v>
      </c>
      <c r="AF5" s="1172" t="s">
        <v>18</v>
      </c>
      <c r="AG5" s="1176">
        <f>'Tatsunoko Inputs'!E101</f>
        <v>0</v>
      </c>
      <c r="AH5" s="1178">
        <f>AG5*AF8</f>
        <v>0</v>
      </c>
      <c r="AJ5" s="676" t="s">
        <v>756</v>
      </c>
      <c r="AK5" s="1172" t="s">
        <v>18</v>
      </c>
      <c r="AL5" s="1176">
        <f>'Tatsunoko Inputs'!E114</f>
        <v>0</v>
      </c>
      <c r="AM5" s="1178">
        <f>AL5*AK8</f>
        <v>0</v>
      </c>
      <c r="AO5" s="676" t="s">
        <v>756</v>
      </c>
      <c r="AP5" s="1172" t="s">
        <v>18</v>
      </c>
      <c r="AQ5" s="1176">
        <f>'Tatsunoko Inputs'!E127</f>
        <v>0</v>
      </c>
      <c r="AR5" s="1178">
        <f>AQ5*AP8</f>
        <v>0</v>
      </c>
    </row>
    <row r="6" spans="1:44" s="677" customFormat="1" ht="16" thickBot="1">
      <c r="A6" s="678" t="s">
        <v>757</v>
      </c>
      <c r="B6" s="1173"/>
      <c r="C6" s="1177"/>
      <c r="D6" s="1175"/>
      <c r="E6" s="1179"/>
      <c r="F6" s="678" t="s">
        <v>757</v>
      </c>
      <c r="G6" s="1173"/>
      <c r="H6" s="1177"/>
      <c r="I6" s="1175"/>
      <c r="J6" s="1179"/>
      <c r="K6" s="678" t="s">
        <v>757</v>
      </c>
      <c r="L6" s="1173"/>
      <c r="M6" s="1177"/>
      <c r="N6" s="1175"/>
      <c r="O6" s="1180"/>
      <c r="P6" s="678" t="s">
        <v>757</v>
      </c>
      <c r="Q6" s="1173"/>
      <c r="R6" s="1177"/>
      <c r="S6" s="1175"/>
      <c r="T6" s="545"/>
      <c r="U6" s="678" t="s">
        <v>757</v>
      </c>
      <c r="V6" s="1173"/>
      <c r="W6" s="1177"/>
      <c r="X6" s="1175"/>
      <c r="Z6" s="678" t="s">
        <v>757</v>
      </c>
      <c r="AA6" s="1173"/>
      <c r="AB6" s="1177"/>
      <c r="AC6" s="1175"/>
      <c r="AE6" s="678" t="s">
        <v>757</v>
      </c>
      <c r="AF6" s="1173"/>
      <c r="AG6" s="1177"/>
      <c r="AH6" s="1175"/>
      <c r="AJ6" s="678" t="s">
        <v>757</v>
      </c>
      <c r="AK6" s="1173"/>
      <c r="AL6" s="1177"/>
      <c r="AM6" s="1175"/>
      <c r="AO6" s="678" t="s">
        <v>757</v>
      </c>
      <c r="AP6" s="1173"/>
      <c r="AQ6" s="1177"/>
      <c r="AR6" s="1175"/>
    </row>
    <row r="7" spans="1:44" ht="16" thickBot="1">
      <c r="A7" s="679" t="s">
        <v>758</v>
      </c>
      <c r="B7" s="680">
        <f>'Tatsunoko Inputs'!G23</f>
        <v>1200</v>
      </c>
      <c r="C7" s="681"/>
      <c r="D7" s="681"/>
      <c r="E7" s="668"/>
      <c r="F7" s="679" t="s">
        <v>758</v>
      </c>
      <c r="G7" s="680">
        <f>'Tatsunoko Inputs'!G36</f>
        <v>800</v>
      </c>
      <c r="H7" s="681"/>
      <c r="I7" s="681"/>
      <c r="J7" s="668"/>
      <c r="K7" s="679" t="s">
        <v>758</v>
      </c>
      <c r="L7" s="680">
        <f>'Tatsunoko Inputs'!G49</f>
        <v>800</v>
      </c>
      <c r="M7" s="681"/>
      <c r="N7" s="681"/>
      <c r="O7" s="668"/>
      <c r="P7" s="679" t="s">
        <v>758</v>
      </c>
      <c r="Q7" s="680">
        <f>'Tatsunoko Inputs'!G62</f>
        <v>800</v>
      </c>
      <c r="R7" s="681"/>
      <c r="S7" s="681"/>
      <c r="T7" s="551"/>
      <c r="U7" s="679" t="s">
        <v>758</v>
      </c>
      <c r="V7" s="680">
        <f>'Tatsunoko Inputs'!G75</f>
        <v>0</v>
      </c>
      <c r="W7" s="681"/>
      <c r="X7" s="681"/>
      <c r="Z7" s="679" t="s">
        <v>758</v>
      </c>
      <c r="AA7" s="680">
        <f>'Tatsunoko Inputs'!G88</f>
        <v>0</v>
      </c>
      <c r="AB7" s="681"/>
      <c r="AC7" s="681"/>
      <c r="AE7" s="679" t="s">
        <v>758</v>
      </c>
      <c r="AF7" s="680">
        <f>'Tatsunoko Inputs'!G101</f>
        <v>0</v>
      </c>
      <c r="AG7" s="681"/>
      <c r="AH7" s="681"/>
      <c r="AJ7" s="679" t="s">
        <v>758</v>
      </c>
      <c r="AK7" s="680">
        <f>'Tatsunoko Inputs'!G114</f>
        <v>0</v>
      </c>
      <c r="AL7" s="681"/>
      <c r="AM7" s="681"/>
      <c r="AO7" s="679" t="s">
        <v>758</v>
      </c>
      <c r="AP7" s="680">
        <f>'Tatsunoko Inputs'!G127</f>
        <v>0</v>
      </c>
      <c r="AQ7" s="681"/>
      <c r="AR7" s="681"/>
    </row>
    <row r="8" spans="1:44" ht="17" thickBot="1">
      <c r="A8" s="682" t="s">
        <v>188</v>
      </c>
      <c r="B8" s="681">
        <f>'Tatsunoko Inputs'!I23</f>
        <v>12</v>
      </c>
      <c r="C8" s="681"/>
      <c r="D8" s="683"/>
      <c r="E8" s="668"/>
      <c r="F8" s="682" t="s">
        <v>188</v>
      </c>
      <c r="G8" s="681">
        <f>'Tatsunoko Inputs'!I36</f>
        <v>12</v>
      </c>
      <c r="H8" s="681"/>
      <c r="I8" s="683"/>
      <c r="J8" s="668"/>
      <c r="K8" s="682" t="s">
        <v>188</v>
      </c>
      <c r="L8" s="681">
        <f>'Tatsunoko Inputs'!I49</f>
        <v>12</v>
      </c>
      <c r="M8" s="681"/>
      <c r="N8" s="683"/>
      <c r="O8" s="668"/>
      <c r="P8" s="682" t="s">
        <v>188</v>
      </c>
      <c r="Q8" s="681">
        <f>'Tatsunoko Inputs'!I62</f>
        <v>12</v>
      </c>
      <c r="R8" s="681"/>
      <c r="S8" s="683"/>
      <c r="T8" s="551"/>
      <c r="U8" s="682" t="s">
        <v>188</v>
      </c>
      <c r="V8" s="681">
        <f>'Tatsunoko Inputs'!I75</f>
        <v>0</v>
      </c>
      <c r="W8" s="681"/>
      <c r="X8" s="683"/>
      <c r="Z8" s="682" t="s">
        <v>188</v>
      </c>
      <c r="AA8" s="681">
        <f>'Tatsunoko Inputs'!I88</f>
        <v>0</v>
      </c>
      <c r="AB8" s="681"/>
      <c r="AC8" s="683"/>
      <c r="AE8" s="682" t="s">
        <v>188</v>
      </c>
      <c r="AF8" s="681">
        <f>'Tatsunoko Inputs'!I101</f>
        <v>0</v>
      </c>
      <c r="AG8" s="681"/>
      <c r="AH8" s="683"/>
      <c r="AJ8" s="682" t="s">
        <v>188</v>
      </c>
      <c r="AK8" s="681">
        <f>'Tatsunoko Inputs'!I114</f>
        <v>0</v>
      </c>
      <c r="AL8" s="681"/>
      <c r="AM8" s="683"/>
      <c r="AO8" s="682" t="s">
        <v>188</v>
      </c>
      <c r="AP8" s="681">
        <f>'Tatsunoko Inputs'!I127</f>
        <v>0</v>
      </c>
      <c r="AQ8" s="681"/>
      <c r="AR8" s="683"/>
    </row>
    <row r="9" spans="1:44" ht="16" thickBot="1">
      <c r="A9" s="679" t="s">
        <v>759</v>
      </c>
      <c r="B9" s="680">
        <f>B7*B8</f>
        <v>14400</v>
      </c>
      <c r="C9" s="684"/>
      <c r="D9" s="685"/>
      <c r="E9" s="668"/>
      <c r="F9" s="679" t="s">
        <v>759</v>
      </c>
      <c r="G9" s="680">
        <f>G7*G8</f>
        <v>9600</v>
      </c>
      <c r="H9" s="684"/>
      <c r="I9" s="685"/>
      <c r="J9" s="668"/>
      <c r="K9" s="679" t="s">
        <v>759</v>
      </c>
      <c r="L9" s="680">
        <f>L7*L8</f>
        <v>9600</v>
      </c>
      <c r="M9" s="684"/>
      <c r="N9" s="685"/>
      <c r="O9" s="668"/>
      <c r="P9" s="679" t="s">
        <v>759</v>
      </c>
      <c r="Q9" s="680">
        <f>Q7*Q8</f>
        <v>9600</v>
      </c>
      <c r="R9" s="684"/>
      <c r="S9" s="685">
        <v>3599760</v>
      </c>
      <c r="T9" s="556"/>
      <c r="U9" s="679" t="s">
        <v>759</v>
      </c>
      <c r="V9" s="680">
        <f>V7*V8</f>
        <v>0</v>
      </c>
      <c r="W9" s="684"/>
      <c r="X9" s="685"/>
      <c r="Z9" s="679" t="s">
        <v>759</v>
      </c>
      <c r="AA9" s="680">
        <f>AA7*AA8</f>
        <v>0</v>
      </c>
      <c r="AB9" s="684"/>
      <c r="AC9" s="685"/>
      <c r="AE9" s="679" t="s">
        <v>759</v>
      </c>
      <c r="AF9" s="680">
        <f>AF7*AF8</f>
        <v>0</v>
      </c>
      <c r="AG9" s="684"/>
      <c r="AH9" s="685"/>
      <c r="AJ9" s="679" t="s">
        <v>759</v>
      </c>
      <c r="AK9" s="680">
        <f>AK7*AK8</f>
        <v>0</v>
      </c>
      <c r="AL9" s="684"/>
      <c r="AM9" s="685"/>
      <c r="AO9" s="679" t="s">
        <v>759</v>
      </c>
      <c r="AP9" s="680">
        <f>AP7*AP8</f>
        <v>0</v>
      </c>
      <c r="AQ9" s="684"/>
      <c r="AR9" s="685"/>
    </row>
    <row r="10" spans="1:44" ht="16" thickBot="1">
      <c r="A10" s="679" t="s">
        <v>192</v>
      </c>
      <c r="B10" s="681">
        <f>'Tatsunoko Inputs'!K23</f>
        <v>12</v>
      </c>
      <c r="C10" s="684"/>
      <c r="D10" s="686"/>
      <c r="E10" s="668"/>
      <c r="F10" s="679" t="s">
        <v>192</v>
      </c>
      <c r="G10" s="681">
        <f>'Tatsunoko Inputs'!K36</f>
        <v>12</v>
      </c>
      <c r="H10" s="684"/>
      <c r="I10" s="686"/>
      <c r="J10" s="668"/>
      <c r="K10" s="679" t="s">
        <v>192</v>
      </c>
      <c r="L10" s="681">
        <f>'Tatsunoko Inputs'!K49</f>
        <v>12</v>
      </c>
      <c r="M10" s="684"/>
      <c r="N10" s="686"/>
      <c r="O10" s="668"/>
      <c r="P10" s="679" t="s">
        <v>192</v>
      </c>
      <c r="Q10" s="681">
        <f>'Tatsunoko Inputs'!K62</f>
        <v>12</v>
      </c>
      <c r="R10" s="684"/>
      <c r="S10" s="686" t="s">
        <v>760</v>
      </c>
      <c r="T10" s="558"/>
      <c r="U10" s="679" t="s">
        <v>192</v>
      </c>
      <c r="V10" s="681">
        <f>'Tatsunoko Inputs'!K75</f>
        <v>0</v>
      </c>
      <c r="W10" s="684"/>
      <c r="X10" s="686"/>
      <c r="Z10" s="679" t="s">
        <v>192</v>
      </c>
      <c r="AA10" s="681">
        <f>'Tatsunoko Inputs'!K88</f>
        <v>0</v>
      </c>
      <c r="AB10" s="684"/>
      <c r="AC10" s="686"/>
      <c r="AE10" s="679" t="s">
        <v>192</v>
      </c>
      <c r="AF10" s="681">
        <f>'Tatsunoko Inputs'!K101</f>
        <v>0</v>
      </c>
      <c r="AG10" s="684"/>
      <c r="AH10" s="686"/>
      <c r="AJ10" s="679" t="s">
        <v>192</v>
      </c>
      <c r="AK10" s="681">
        <f>'Tatsunoko Inputs'!K114</f>
        <v>0</v>
      </c>
      <c r="AL10" s="684"/>
      <c r="AM10" s="686"/>
      <c r="AO10" s="679" t="s">
        <v>192</v>
      </c>
      <c r="AP10" s="681">
        <f>'Tatsunoko Inputs'!K127</f>
        <v>0</v>
      </c>
      <c r="AQ10" s="684"/>
      <c r="AR10" s="686"/>
    </row>
    <row r="11" spans="1:44" ht="16" thickBot="1">
      <c r="A11" s="687" t="s">
        <v>195</v>
      </c>
      <c r="B11" s="681">
        <f>'Tatsunoko Inputs'!M23</f>
        <v>5</v>
      </c>
      <c r="C11" s="681"/>
      <c r="D11" s="681"/>
      <c r="E11" s="668"/>
      <c r="F11" s="687" t="s">
        <v>195</v>
      </c>
      <c r="G11" s="681">
        <f>'Tatsunoko Inputs'!M36</f>
        <v>5</v>
      </c>
      <c r="H11" s="681"/>
      <c r="I11" s="681"/>
      <c r="J11" s="668"/>
      <c r="K11" s="687" t="s">
        <v>195</v>
      </c>
      <c r="L11" s="681">
        <f>'Tatsunoko Inputs'!M49</f>
        <v>5</v>
      </c>
      <c r="M11" s="681"/>
      <c r="N11" s="681"/>
      <c r="O11" s="668"/>
      <c r="P11" s="687" t="s">
        <v>195</v>
      </c>
      <c r="Q11" s="681">
        <f>'Tatsunoko Inputs'!M62</f>
        <v>5</v>
      </c>
      <c r="R11" s="681"/>
      <c r="S11" s="681"/>
      <c r="T11" s="558"/>
      <c r="U11" s="687" t="s">
        <v>195</v>
      </c>
      <c r="V11" s="681">
        <f>'Tatsunoko Inputs'!M75</f>
        <v>0</v>
      </c>
      <c r="W11" s="681"/>
      <c r="X11" s="681"/>
      <c r="Z11" s="687" t="s">
        <v>195</v>
      </c>
      <c r="AA11" s="681">
        <f>'Tatsunoko Inputs'!M88</f>
        <v>0</v>
      </c>
      <c r="AB11" s="681"/>
      <c r="AC11" s="681"/>
      <c r="AE11" s="687" t="s">
        <v>195</v>
      </c>
      <c r="AF11" s="681">
        <f>'Tatsunoko Inputs'!M101</f>
        <v>0</v>
      </c>
      <c r="AG11" s="681"/>
      <c r="AH11" s="681"/>
      <c r="AJ11" s="687" t="s">
        <v>195</v>
      </c>
      <c r="AK11" s="681">
        <f>'Tatsunoko Inputs'!M114</f>
        <v>0</v>
      </c>
      <c r="AL11" s="681"/>
      <c r="AM11" s="681"/>
      <c r="AO11" s="687" t="s">
        <v>195</v>
      </c>
      <c r="AP11" s="681">
        <f>'Tatsunoko Inputs'!M127</f>
        <v>0</v>
      </c>
      <c r="AQ11" s="681"/>
      <c r="AR11" s="681"/>
    </row>
    <row r="12" spans="1:44" ht="16" thickBot="1">
      <c r="A12" s="679" t="s">
        <v>761</v>
      </c>
      <c r="B12" s="680">
        <f>B9*B10</f>
        <v>172800</v>
      </c>
      <c r="C12" s="681"/>
      <c r="D12" s="681"/>
      <c r="E12" s="668"/>
      <c r="F12" s="679" t="s">
        <v>761</v>
      </c>
      <c r="G12" s="680">
        <f>G9*G10</f>
        <v>115200</v>
      </c>
      <c r="H12" s="681"/>
      <c r="I12" s="681"/>
      <c r="J12" s="668"/>
      <c r="K12" s="679" t="s">
        <v>761</v>
      </c>
      <c r="L12" s="680">
        <f>L9*L10</f>
        <v>115200</v>
      </c>
      <c r="M12" s="681"/>
      <c r="N12" s="681"/>
      <c r="O12" s="668"/>
      <c r="P12" s="679" t="s">
        <v>761</v>
      </c>
      <c r="Q12" s="680">
        <f>Q9*Q10</f>
        <v>115200</v>
      </c>
      <c r="R12" s="681"/>
      <c r="S12" s="681"/>
      <c r="T12" s="551"/>
      <c r="U12" s="679" t="s">
        <v>761</v>
      </c>
      <c r="V12" s="680">
        <f>V9*V10</f>
        <v>0</v>
      </c>
      <c r="W12" s="681"/>
      <c r="X12" s="681"/>
      <c r="Z12" s="679" t="s">
        <v>761</v>
      </c>
      <c r="AA12" s="680">
        <f>AA9*AA10</f>
        <v>0</v>
      </c>
      <c r="AB12" s="681"/>
      <c r="AC12" s="681"/>
      <c r="AE12" s="679" t="s">
        <v>761</v>
      </c>
      <c r="AF12" s="680">
        <f>AF9*AF10</f>
        <v>0</v>
      </c>
      <c r="AG12" s="681"/>
      <c r="AH12" s="681"/>
      <c r="AJ12" s="679" t="s">
        <v>761</v>
      </c>
      <c r="AK12" s="680">
        <f>AK9*AK10</f>
        <v>0</v>
      </c>
      <c r="AL12" s="681"/>
      <c r="AM12" s="681"/>
      <c r="AO12" s="679" t="s">
        <v>761</v>
      </c>
      <c r="AP12" s="680">
        <f>AP9*AP10</f>
        <v>0</v>
      </c>
      <c r="AQ12" s="681"/>
      <c r="AR12" s="681"/>
    </row>
    <row r="13" spans="1:44" ht="16" thickBot="1">
      <c r="A13" s="679" t="s">
        <v>762</v>
      </c>
      <c r="B13" s="680">
        <f>B12*B11</f>
        <v>864000</v>
      </c>
      <c r="C13" s="681"/>
      <c r="D13" s="681"/>
      <c r="E13" s="668"/>
      <c r="F13" s="679" t="s">
        <v>762</v>
      </c>
      <c r="G13" s="680">
        <f>G12*G11</f>
        <v>576000</v>
      </c>
      <c r="H13" s="681"/>
      <c r="I13" s="681"/>
      <c r="J13" s="668"/>
      <c r="K13" s="679" t="s">
        <v>762</v>
      </c>
      <c r="L13" s="680">
        <f>L12*L11</f>
        <v>576000</v>
      </c>
      <c r="M13" s="681"/>
      <c r="N13" s="681"/>
      <c r="O13" s="668"/>
      <c r="P13" s="679" t="s">
        <v>762</v>
      </c>
      <c r="Q13" s="680">
        <f>Q12*Q11</f>
        <v>576000</v>
      </c>
      <c r="R13" s="681"/>
      <c r="S13" s="681"/>
      <c r="T13" s="560"/>
      <c r="U13" s="679" t="s">
        <v>762</v>
      </c>
      <c r="V13" s="680">
        <f>V12*V11</f>
        <v>0</v>
      </c>
      <c r="W13" s="681"/>
      <c r="X13" s="681"/>
      <c r="Z13" s="679" t="s">
        <v>762</v>
      </c>
      <c r="AA13" s="680">
        <f>AA12*AA11</f>
        <v>0</v>
      </c>
      <c r="AB13" s="681"/>
      <c r="AC13" s="681"/>
      <c r="AE13" s="679" t="s">
        <v>762</v>
      </c>
      <c r="AF13" s="680">
        <f>AF12*AF11</f>
        <v>0</v>
      </c>
      <c r="AG13" s="681"/>
      <c r="AH13" s="681"/>
      <c r="AJ13" s="679" t="s">
        <v>762</v>
      </c>
      <c r="AK13" s="680">
        <f>AK12*AK11</f>
        <v>0</v>
      </c>
      <c r="AL13" s="681"/>
      <c r="AM13" s="681"/>
      <c r="AO13" s="679" t="s">
        <v>762</v>
      </c>
      <c r="AP13" s="680">
        <f>AP12*AP11</f>
        <v>0</v>
      </c>
      <c r="AQ13" s="681"/>
      <c r="AR13" s="681"/>
    </row>
    <row r="14" spans="1:44" ht="16" thickBot="1">
      <c r="A14" s="679" t="s">
        <v>763</v>
      </c>
      <c r="B14" s="688">
        <f>C18/B13</f>
        <v>1.4999027777777778</v>
      </c>
      <c r="C14" s="681"/>
      <c r="D14" s="689"/>
      <c r="E14" s="668"/>
      <c r="F14" s="679" t="s">
        <v>763</v>
      </c>
      <c r="G14" s="688">
        <f>H18/G13</f>
        <v>1.4999027777777778</v>
      </c>
      <c r="H14" s="681"/>
      <c r="I14" s="689"/>
      <c r="J14" s="668"/>
      <c r="K14" s="679" t="s">
        <v>763</v>
      </c>
      <c r="L14" s="688">
        <f>M18/L13</f>
        <v>1.4999027777777778</v>
      </c>
      <c r="M14" s="681"/>
      <c r="N14" s="689"/>
      <c r="O14" s="668"/>
      <c r="P14" s="679" t="s">
        <v>763</v>
      </c>
      <c r="Q14" s="688">
        <f>R18/Q13</f>
        <v>1.4999027777777778</v>
      </c>
      <c r="R14" s="681"/>
      <c r="S14" s="689">
        <v>2.08</v>
      </c>
      <c r="T14" s="551"/>
      <c r="U14" s="679" t="s">
        <v>763</v>
      </c>
      <c r="V14" s="688" t="e">
        <f>W18/V13</f>
        <v>#DIV/0!</v>
      </c>
      <c r="W14" s="681"/>
      <c r="X14" s="689"/>
      <c r="Z14" s="679" t="s">
        <v>763</v>
      </c>
      <c r="AA14" s="688" t="e">
        <f>AB18/AA13</f>
        <v>#DIV/0!</v>
      </c>
      <c r="AB14" s="681"/>
      <c r="AC14" s="689"/>
      <c r="AE14" s="679" t="s">
        <v>763</v>
      </c>
      <c r="AF14" s="688" t="e">
        <f>AG18/AF13</f>
        <v>#DIV/0!</v>
      </c>
      <c r="AG14" s="681"/>
      <c r="AH14" s="689"/>
      <c r="AJ14" s="679" t="s">
        <v>763</v>
      </c>
      <c r="AK14" s="688" t="e">
        <f>AL18/AK13</f>
        <v>#DIV/0!</v>
      </c>
      <c r="AL14" s="681"/>
      <c r="AM14" s="689"/>
      <c r="AO14" s="679" t="s">
        <v>763</v>
      </c>
      <c r="AP14" s="688" t="e">
        <f>AQ18/AP13</f>
        <v>#DIV/0!</v>
      </c>
      <c r="AQ14" s="681"/>
      <c r="AR14" s="689"/>
    </row>
    <row r="15" spans="1:44" ht="16" thickBot="1">
      <c r="A15" s="690"/>
      <c r="B15" s="691" t="s">
        <v>250</v>
      </c>
      <c r="C15" s="691" t="s">
        <v>764</v>
      </c>
      <c r="D15" s="691" t="s">
        <v>18</v>
      </c>
      <c r="E15" s="668"/>
      <c r="F15" s="690"/>
      <c r="G15" s="691" t="s">
        <v>250</v>
      </c>
      <c r="H15" s="691" t="s">
        <v>764</v>
      </c>
      <c r="I15" s="691" t="s">
        <v>18</v>
      </c>
      <c r="J15" s="668"/>
      <c r="K15" s="690"/>
      <c r="L15" s="691" t="s">
        <v>250</v>
      </c>
      <c r="M15" s="691" t="s">
        <v>764</v>
      </c>
      <c r="N15" s="691" t="s">
        <v>18</v>
      </c>
      <c r="O15" s="668"/>
      <c r="P15" s="690"/>
      <c r="Q15" s="691" t="s">
        <v>250</v>
      </c>
      <c r="R15" s="691" t="s">
        <v>764</v>
      </c>
      <c r="S15" s="691" t="s">
        <v>18</v>
      </c>
      <c r="T15" s="551"/>
      <c r="U15" s="690"/>
      <c r="V15" s="691" t="s">
        <v>250</v>
      </c>
      <c r="W15" s="691" t="s">
        <v>764</v>
      </c>
      <c r="X15" s="691" t="s">
        <v>18</v>
      </c>
      <c r="Z15" s="690"/>
      <c r="AA15" s="691" t="s">
        <v>250</v>
      </c>
      <c r="AB15" s="691" t="s">
        <v>764</v>
      </c>
      <c r="AC15" s="691" t="s">
        <v>18</v>
      </c>
      <c r="AE15" s="690"/>
      <c r="AF15" s="691" t="s">
        <v>250</v>
      </c>
      <c r="AG15" s="691" t="s">
        <v>764</v>
      </c>
      <c r="AH15" s="691" t="s">
        <v>18</v>
      </c>
      <c r="AJ15" s="690"/>
      <c r="AK15" s="691" t="s">
        <v>250</v>
      </c>
      <c r="AL15" s="691" t="s">
        <v>764</v>
      </c>
      <c r="AM15" s="691" t="s">
        <v>18</v>
      </c>
      <c r="AO15" s="690"/>
      <c r="AP15" s="691" t="s">
        <v>250</v>
      </c>
      <c r="AQ15" s="691" t="s">
        <v>764</v>
      </c>
      <c r="AR15" s="691" t="s">
        <v>18</v>
      </c>
    </row>
    <row r="16" spans="1:44" ht="16" thickBot="1">
      <c r="A16" s="692" t="s">
        <v>765</v>
      </c>
      <c r="B16" s="693">
        <f>ROUND(C16*$B$89,2)</f>
        <v>45</v>
      </c>
      <c r="C16" s="694">
        <f>ROUND(D16*'Tatsunoko Inputs'!$G$10,2)</f>
        <v>89.99</v>
      </c>
      <c r="D16" s="694">
        <f>C5</f>
        <v>149.99</v>
      </c>
      <c r="E16" s="668"/>
      <c r="F16" s="692" t="s">
        <v>765</v>
      </c>
      <c r="G16" s="693">
        <f>ROUND(H16*$B$89,2)</f>
        <v>45</v>
      </c>
      <c r="H16" s="694">
        <f>ROUND(I16*'Tatsunoko Inputs'!$G$10,2)</f>
        <v>89.99</v>
      </c>
      <c r="I16" s="694">
        <f>H5</f>
        <v>149.99</v>
      </c>
      <c r="J16" s="668"/>
      <c r="K16" s="692" t="s">
        <v>765</v>
      </c>
      <c r="L16" s="693">
        <f>ROUND(M16*$B$89,2)</f>
        <v>45</v>
      </c>
      <c r="M16" s="694">
        <f>ROUND(N16*'Tatsunoko Inputs'!$G$10,2)</f>
        <v>89.99</v>
      </c>
      <c r="N16" s="694">
        <f>M5</f>
        <v>149.99</v>
      </c>
      <c r="O16" s="668"/>
      <c r="P16" s="692" t="s">
        <v>765</v>
      </c>
      <c r="Q16" s="693">
        <f>ROUND(R16*$B$89,2)</f>
        <v>45</v>
      </c>
      <c r="R16" s="694">
        <f>ROUND(S16*'Tatsunoko Inputs'!$G$10,2)</f>
        <v>89.99</v>
      </c>
      <c r="S16" s="694">
        <f>R5</f>
        <v>149.99</v>
      </c>
      <c r="T16" s="551"/>
      <c r="U16" s="692" t="s">
        <v>765</v>
      </c>
      <c r="V16" s="693">
        <f>ROUND(W16*$B$89,2)</f>
        <v>0</v>
      </c>
      <c r="W16" s="694">
        <f>ROUND(X16*'Tatsunoko Inputs'!$G$10,2)</f>
        <v>0</v>
      </c>
      <c r="X16" s="694">
        <f>W5</f>
        <v>0</v>
      </c>
      <c r="Z16" s="692" t="s">
        <v>765</v>
      </c>
      <c r="AA16" s="693">
        <f>ROUND(AB16*$B$89,2)</f>
        <v>0</v>
      </c>
      <c r="AB16" s="694">
        <f>ROUND(AC16*'Tatsunoko Inputs'!$G$10,2)</f>
        <v>0</v>
      </c>
      <c r="AC16" s="694">
        <f>AB5</f>
        <v>0</v>
      </c>
      <c r="AE16" s="692" t="s">
        <v>765</v>
      </c>
      <c r="AF16" s="693">
        <f>ROUND(AG16*$B$89,2)</f>
        <v>0</v>
      </c>
      <c r="AG16" s="694">
        <f>ROUND(AH16*'Tatsunoko Inputs'!$G$10,2)</f>
        <v>0</v>
      </c>
      <c r="AH16" s="694">
        <f>AG5</f>
        <v>0</v>
      </c>
      <c r="AJ16" s="692" t="s">
        <v>765</v>
      </c>
      <c r="AK16" s="693">
        <f>ROUND(AL16*$B$89,2)</f>
        <v>0</v>
      </c>
      <c r="AL16" s="694">
        <f>ROUND(AM16*'Tatsunoko Inputs'!$G$10,2)</f>
        <v>0</v>
      </c>
      <c r="AM16" s="694">
        <f>AL5</f>
        <v>0</v>
      </c>
      <c r="AO16" s="692" t="s">
        <v>765</v>
      </c>
      <c r="AP16" s="693">
        <f>ROUND(AQ16*$B$89,2)</f>
        <v>0</v>
      </c>
      <c r="AQ16" s="694">
        <f>ROUND(AR16*'Tatsunoko Inputs'!$G$10,2)</f>
        <v>0</v>
      </c>
      <c r="AR16" s="694">
        <f>AQ5</f>
        <v>0</v>
      </c>
    </row>
    <row r="17" spans="1:44" ht="16" thickBot="1">
      <c r="A17" s="692" t="s">
        <v>766</v>
      </c>
      <c r="B17" s="693">
        <f>ROUND(C17*$B$89,2)</f>
        <v>539.97</v>
      </c>
      <c r="C17" s="695">
        <f>ROUND(D17*'Tatsunoko Inputs'!$G$10,2)</f>
        <v>1079.93</v>
      </c>
      <c r="D17" s="695">
        <f>ROUND(D16*B8,2)</f>
        <v>1799.88</v>
      </c>
      <c r="E17" s="668"/>
      <c r="F17" s="692" t="s">
        <v>766</v>
      </c>
      <c r="G17" s="693">
        <f>ROUND(H17*$B$89,2)</f>
        <v>539.97</v>
      </c>
      <c r="H17" s="695">
        <f>ROUND(I17*'Tatsunoko Inputs'!$G$10,2)</f>
        <v>1079.93</v>
      </c>
      <c r="I17" s="695">
        <f>ROUND(I16*G8,2)</f>
        <v>1799.88</v>
      </c>
      <c r="J17" s="668"/>
      <c r="K17" s="692" t="s">
        <v>766</v>
      </c>
      <c r="L17" s="693">
        <f>ROUND(M17*$B$89,2)</f>
        <v>539.97</v>
      </c>
      <c r="M17" s="695">
        <f>ROUND(N17*'Tatsunoko Inputs'!$G$10,2)</f>
        <v>1079.93</v>
      </c>
      <c r="N17" s="695">
        <f>ROUND(N16*L8,2)</f>
        <v>1799.88</v>
      </c>
      <c r="O17" s="668"/>
      <c r="P17" s="692" t="s">
        <v>766</v>
      </c>
      <c r="Q17" s="693">
        <f>ROUND(R17*$B$89,2)</f>
        <v>539.97</v>
      </c>
      <c r="R17" s="695">
        <f>ROUND(S17*'Tatsunoko Inputs'!$G$10,2)</f>
        <v>1079.93</v>
      </c>
      <c r="S17" s="695">
        <f>ROUND(S16*Q8,2)</f>
        <v>1799.88</v>
      </c>
      <c r="T17" s="551"/>
      <c r="U17" s="692" t="s">
        <v>766</v>
      </c>
      <c r="V17" s="693">
        <f>ROUND(W17*$B$89,2)</f>
        <v>0</v>
      </c>
      <c r="W17" s="695">
        <f>ROUND(X17*'Tatsunoko Inputs'!$G$10,2)</f>
        <v>0</v>
      </c>
      <c r="X17" s="695">
        <f>ROUND(X16*V8,2)</f>
        <v>0</v>
      </c>
      <c r="Z17" s="692" t="s">
        <v>766</v>
      </c>
      <c r="AA17" s="693">
        <f>ROUND(AB17*$B$89,2)</f>
        <v>0</v>
      </c>
      <c r="AB17" s="695">
        <f>ROUND(AC17*'Tatsunoko Inputs'!$G$10,2)</f>
        <v>0</v>
      </c>
      <c r="AC17" s="695">
        <f>ROUND(AC16*AA8,2)</f>
        <v>0</v>
      </c>
      <c r="AE17" s="692" t="s">
        <v>766</v>
      </c>
      <c r="AF17" s="693">
        <f>ROUND(AG17*$B$89,2)</f>
        <v>0</v>
      </c>
      <c r="AG17" s="695">
        <f>ROUND(AH17*'Tatsunoko Inputs'!$G$10,2)</f>
        <v>0</v>
      </c>
      <c r="AH17" s="695">
        <f>ROUND(AH16*AF8,2)</f>
        <v>0</v>
      </c>
      <c r="AJ17" s="692" t="s">
        <v>766</v>
      </c>
      <c r="AK17" s="693">
        <f>ROUND(AL17*$B$89,2)</f>
        <v>0</v>
      </c>
      <c r="AL17" s="695">
        <f>ROUND(AM17*'Tatsunoko Inputs'!$G$10,2)</f>
        <v>0</v>
      </c>
      <c r="AM17" s="695">
        <f>ROUND(AM16*AK8,2)</f>
        <v>0</v>
      </c>
      <c r="AO17" s="692" t="s">
        <v>766</v>
      </c>
      <c r="AP17" s="693">
        <f>ROUND(AQ17*$B$89,2)</f>
        <v>0</v>
      </c>
      <c r="AQ17" s="695">
        <f>ROUND(AR17*'Tatsunoko Inputs'!$G$10,2)</f>
        <v>0</v>
      </c>
      <c r="AR17" s="695">
        <f>ROUND(AR16*AP8,2)</f>
        <v>0</v>
      </c>
    </row>
    <row r="18" spans="1:44" ht="16" thickBot="1">
      <c r="A18" s="692" t="s">
        <v>767</v>
      </c>
      <c r="B18" s="693">
        <f>ROUND(B17*$B$7,2)</f>
        <v>647964</v>
      </c>
      <c r="C18" s="695">
        <f>ROUND(C17*B7,2)</f>
        <v>1295916</v>
      </c>
      <c r="D18" s="695">
        <f>ROUND(D17*B7,2)</f>
        <v>2159856</v>
      </c>
      <c r="E18" s="668"/>
      <c r="F18" s="692" t="s">
        <v>767</v>
      </c>
      <c r="G18" s="693">
        <f>ROUND(G17*$B$7,2)</f>
        <v>647964</v>
      </c>
      <c r="H18" s="695">
        <f>ROUND(H17*G7,2)</f>
        <v>863944</v>
      </c>
      <c r="I18" s="695">
        <f>ROUND(I17*G7,2)</f>
        <v>1439904</v>
      </c>
      <c r="J18" s="668"/>
      <c r="K18" s="692" t="s">
        <v>767</v>
      </c>
      <c r="L18" s="693">
        <f>ROUND(L17*$B$7,2)</f>
        <v>647964</v>
      </c>
      <c r="M18" s="695">
        <f>ROUND(M17*L7,2)</f>
        <v>863944</v>
      </c>
      <c r="N18" s="695">
        <f>ROUND(N17*L7,2)</f>
        <v>1439904</v>
      </c>
      <c r="O18" s="668"/>
      <c r="P18" s="692" t="s">
        <v>767</v>
      </c>
      <c r="Q18" s="693">
        <f>ROUND(Q17*$B$7,2)</f>
        <v>647964</v>
      </c>
      <c r="R18" s="695">
        <f>ROUND(R17*Q7,2)</f>
        <v>863944</v>
      </c>
      <c r="S18" s="695">
        <f>ROUND(S17*Q7,2)</f>
        <v>1439904</v>
      </c>
      <c r="T18" s="551"/>
      <c r="U18" s="692" t="s">
        <v>767</v>
      </c>
      <c r="V18" s="693">
        <f>ROUND(V17*$B$7,2)</f>
        <v>0</v>
      </c>
      <c r="W18" s="695">
        <f>ROUND(W17*V7,2)</f>
        <v>0</v>
      </c>
      <c r="X18" s="695">
        <f>ROUND(X17*V7,2)</f>
        <v>0</v>
      </c>
      <c r="Z18" s="692" t="s">
        <v>767</v>
      </c>
      <c r="AA18" s="693">
        <f>ROUND(AA17*$B$7,2)</f>
        <v>0</v>
      </c>
      <c r="AB18" s="695">
        <f>ROUND(AB17*AA7,2)</f>
        <v>0</v>
      </c>
      <c r="AC18" s="695">
        <f>ROUND(AC17*AA7,2)</f>
        <v>0</v>
      </c>
      <c r="AE18" s="692" t="s">
        <v>767</v>
      </c>
      <c r="AF18" s="693">
        <f>ROUND(AF17*$B$7,2)</f>
        <v>0</v>
      </c>
      <c r="AG18" s="695">
        <f>ROUND(AG17*AF7,2)</f>
        <v>0</v>
      </c>
      <c r="AH18" s="695">
        <f>ROUND(AH17*AF7,2)</f>
        <v>0</v>
      </c>
      <c r="AJ18" s="692" t="s">
        <v>767</v>
      </c>
      <c r="AK18" s="693">
        <f>ROUND(AK17*$B$7,2)</f>
        <v>0</v>
      </c>
      <c r="AL18" s="695">
        <f>ROUND(AL17*AK7,2)</f>
        <v>0</v>
      </c>
      <c r="AM18" s="695">
        <f>ROUND(AM17*AK7,2)</f>
        <v>0</v>
      </c>
      <c r="AO18" s="692" t="s">
        <v>767</v>
      </c>
      <c r="AP18" s="693">
        <f>ROUND(AP17*$B$7,2)</f>
        <v>0</v>
      </c>
      <c r="AQ18" s="695">
        <f>ROUND(AQ17*AP7,2)</f>
        <v>0</v>
      </c>
      <c r="AR18" s="695">
        <f>ROUND(AR17*AP7,2)</f>
        <v>0</v>
      </c>
    </row>
    <row r="19" spans="1:44" ht="16" thickBot="1">
      <c r="A19" s="668"/>
      <c r="B19" s="668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551"/>
      <c r="U19" s="668"/>
      <c r="V19" s="668"/>
      <c r="W19" s="668"/>
      <c r="X19" s="668"/>
      <c r="Z19" s="668"/>
      <c r="AA19" s="668"/>
      <c r="AB19" s="668"/>
      <c r="AC19" s="668"/>
      <c r="AE19" s="668"/>
      <c r="AF19" s="668"/>
      <c r="AG19" s="668"/>
      <c r="AH19" s="668"/>
      <c r="AJ19" s="668"/>
      <c r="AK19" s="668"/>
      <c r="AL19" s="668"/>
      <c r="AM19" s="668"/>
      <c r="AO19" s="668"/>
      <c r="AP19" s="668"/>
      <c r="AQ19" s="668"/>
      <c r="AR19" s="668"/>
    </row>
    <row r="20" spans="1:44" ht="16" thickBot="1">
      <c r="A20" s="668"/>
      <c r="B20" s="668"/>
      <c r="C20" s="674" t="s">
        <v>754</v>
      </c>
      <c r="D20" s="675" t="s">
        <v>755</v>
      </c>
      <c r="E20" s="668"/>
      <c r="F20" s="668"/>
      <c r="G20" s="668"/>
      <c r="H20" s="674" t="s">
        <v>754</v>
      </c>
      <c r="I20" s="675" t="s">
        <v>755</v>
      </c>
      <c r="J20" s="668"/>
      <c r="K20" s="668"/>
      <c r="L20" s="668"/>
      <c r="M20" s="674" t="s">
        <v>754</v>
      </c>
      <c r="N20" s="675" t="s">
        <v>755</v>
      </c>
      <c r="O20" s="668"/>
      <c r="P20" s="668"/>
      <c r="Q20" s="668"/>
      <c r="R20" s="674" t="s">
        <v>754</v>
      </c>
      <c r="S20" s="675" t="s">
        <v>755</v>
      </c>
      <c r="T20" s="551"/>
      <c r="U20" s="668"/>
      <c r="V20" s="668"/>
      <c r="W20" s="674" t="s">
        <v>754</v>
      </c>
      <c r="X20" s="675" t="s">
        <v>755</v>
      </c>
      <c r="Z20" s="668"/>
      <c r="AA20" s="668"/>
      <c r="AB20" s="674" t="s">
        <v>754</v>
      </c>
      <c r="AC20" s="675" t="s">
        <v>755</v>
      </c>
      <c r="AE20" s="668"/>
      <c r="AF20" s="668"/>
      <c r="AG20" s="674" t="s">
        <v>754</v>
      </c>
      <c r="AH20" s="675" t="s">
        <v>755</v>
      </c>
      <c r="AJ20" s="668"/>
      <c r="AK20" s="668"/>
      <c r="AL20" s="674" t="s">
        <v>754</v>
      </c>
      <c r="AM20" s="675" t="s">
        <v>755</v>
      </c>
      <c r="AO20" s="668"/>
      <c r="AP20" s="668"/>
      <c r="AQ20" s="674" t="s">
        <v>754</v>
      </c>
      <c r="AR20" s="675" t="s">
        <v>755</v>
      </c>
    </row>
    <row r="21" spans="1:44" s="677" customFormat="1" ht="16">
      <c r="A21" s="676" t="s">
        <v>853</v>
      </c>
      <c r="B21" s="1172" t="s">
        <v>18</v>
      </c>
      <c r="C21" s="1176">
        <f>'Tatsunoko Inputs'!E24</f>
        <v>0</v>
      </c>
      <c r="D21" s="1178">
        <f>C21*B24</f>
        <v>0</v>
      </c>
      <c r="E21" s="1179"/>
      <c r="F21" s="676" t="s">
        <v>853</v>
      </c>
      <c r="G21" s="1172" t="s">
        <v>18</v>
      </c>
      <c r="H21" s="1176">
        <f>'Tatsunoko Inputs'!E37</f>
        <v>0</v>
      </c>
      <c r="I21" s="1178">
        <f>H21*G24</f>
        <v>0</v>
      </c>
      <c r="J21" s="1179"/>
      <c r="K21" s="676" t="s">
        <v>853</v>
      </c>
      <c r="L21" s="1172" t="s">
        <v>18</v>
      </c>
      <c r="M21" s="1176">
        <f>'Tatsunoko Inputs'!E50</f>
        <v>0</v>
      </c>
      <c r="N21" s="1178">
        <f>M21*L24</f>
        <v>0</v>
      </c>
      <c r="O21" s="1180"/>
      <c r="P21" s="676" t="s">
        <v>853</v>
      </c>
      <c r="Q21" s="1172" t="s">
        <v>18</v>
      </c>
      <c r="R21" s="1176">
        <f>'Tatsunoko Inputs'!E63</f>
        <v>0</v>
      </c>
      <c r="S21" s="1178">
        <f>R21*Q24</f>
        <v>0</v>
      </c>
      <c r="T21" s="569"/>
      <c r="U21" s="676" t="s">
        <v>853</v>
      </c>
      <c r="V21" s="1172" t="s">
        <v>18</v>
      </c>
      <c r="W21" s="1176">
        <f>'Tatsunoko Inputs'!E76</f>
        <v>0</v>
      </c>
      <c r="X21" s="1178">
        <f>W21*V24</f>
        <v>0</v>
      </c>
      <c r="Z21" s="676" t="s">
        <v>853</v>
      </c>
      <c r="AA21" s="1172" t="s">
        <v>18</v>
      </c>
      <c r="AB21" s="1176">
        <f>'Tatsunoko Inputs'!E89</f>
        <v>0</v>
      </c>
      <c r="AC21" s="1178">
        <f>AB21*AA24</f>
        <v>0</v>
      </c>
      <c r="AE21" s="676" t="s">
        <v>853</v>
      </c>
      <c r="AF21" s="1172" t="s">
        <v>18</v>
      </c>
      <c r="AG21" s="1176">
        <f>'Tatsunoko Inputs'!E102</f>
        <v>0</v>
      </c>
      <c r="AH21" s="1178">
        <f>AG21*AF24</f>
        <v>0</v>
      </c>
      <c r="AJ21" s="676" t="s">
        <v>853</v>
      </c>
      <c r="AK21" s="1172" t="s">
        <v>18</v>
      </c>
      <c r="AL21" s="1176">
        <f>'Tatsunoko Inputs'!E115</f>
        <v>0</v>
      </c>
      <c r="AM21" s="1178">
        <f>AL21*AK24</f>
        <v>0</v>
      </c>
      <c r="AO21" s="676" t="s">
        <v>853</v>
      </c>
      <c r="AP21" s="1172" t="s">
        <v>18</v>
      </c>
      <c r="AQ21" s="1176">
        <f>'Tatsunoko Inputs'!E128</f>
        <v>0</v>
      </c>
      <c r="AR21" s="1178">
        <f>AQ21*AP24</f>
        <v>0</v>
      </c>
    </row>
    <row r="22" spans="1:44" s="677" customFormat="1" ht="16" thickBot="1">
      <c r="A22" s="678" t="s">
        <v>854</v>
      </c>
      <c r="B22" s="1173"/>
      <c r="C22" s="1177"/>
      <c r="D22" s="1175"/>
      <c r="E22" s="1179"/>
      <c r="F22" s="678" t="s">
        <v>854</v>
      </c>
      <c r="G22" s="1173"/>
      <c r="H22" s="1177"/>
      <c r="I22" s="1175"/>
      <c r="J22" s="1179"/>
      <c r="K22" s="678" t="s">
        <v>854</v>
      </c>
      <c r="L22" s="1173"/>
      <c r="M22" s="1177"/>
      <c r="N22" s="1175"/>
      <c r="O22" s="1180"/>
      <c r="P22" s="678" t="s">
        <v>854</v>
      </c>
      <c r="Q22" s="1173"/>
      <c r="R22" s="1177"/>
      <c r="S22" s="1175"/>
      <c r="T22" s="569"/>
      <c r="U22" s="678" t="s">
        <v>854</v>
      </c>
      <c r="V22" s="1173"/>
      <c r="W22" s="1177"/>
      <c r="X22" s="1175"/>
      <c r="Z22" s="678" t="s">
        <v>854</v>
      </c>
      <c r="AA22" s="1173"/>
      <c r="AB22" s="1177"/>
      <c r="AC22" s="1175"/>
      <c r="AE22" s="678" t="s">
        <v>854</v>
      </c>
      <c r="AF22" s="1173"/>
      <c r="AG22" s="1177"/>
      <c r="AH22" s="1175"/>
      <c r="AJ22" s="678" t="s">
        <v>854</v>
      </c>
      <c r="AK22" s="1173"/>
      <c r="AL22" s="1177"/>
      <c r="AM22" s="1175"/>
      <c r="AO22" s="678" t="s">
        <v>854</v>
      </c>
      <c r="AP22" s="1173"/>
      <c r="AQ22" s="1177"/>
      <c r="AR22" s="1175"/>
    </row>
    <row r="23" spans="1:44" ht="16" thickBot="1">
      <c r="A23" s="679" t="s">
        <v>758</v>
      </c>
      <c r="B23" s="680">
        <f>'Tatsunoko Inputs'!G24</f>
        <v>0</v>
      </c>
      <c r="C23" s="681"/>
      <c r="D23" s="681"/>
      <c r="E23" s="668"/>
      <c r="F23" s="679" t="s">
        <v>758</v>
      </c>
      <c r="G23" s="680">
        <f>'Tatsunoko Inputs'!G37</f>
        <v>0</v>
      </c>
      <c r="H23" s="681"/>
      <c r="I23" s="681"/>
      <c r="J23" s="668"/>
      <c r="K23" s="679" t="s">
        <v>758</v>
      </c>
      <c r="L23" s="680">
        <f>'Tatsunoko Inputs'!G50</f>
        <v>0</v>
      </c>
      <c r="M23" s="681"/>
      <c r="N23" s="681"/>
      <c r="O23" s="668"/>
      <c r="P23" s="679" t="s">
        <v>758</v>
      </c>
      <c r="Q23" s="680">
        <f>'Tatsunoko Inputs'!G63</f>
        <v>0</v>
      </c>
      <c r="R23" s="681"/>
      <c r="S23" s="681"/>
      <c r="T23" s="551"/>
      <c r="U23" s="679" t="s">
        <v>758</v>
      </c>
      <c r="V23" s="680">
        <f>'Tatsunoko Inputs'!G76</f>
        <v>0</v>
      </c>
      <c r="W23" s="681"/>
      <c r="X23" s="681"/>
      <c r="Z23" s="679" t="s">
        <v>758</v>
      </c>
      <c r="AA23" s="680">
        <f>'Tatsunoko Inputs'!G89</f>
        <v>0</v>
      </c>
      <c r="AB23" s="681"/>
      <c r="AC23" s="681"/>
      <c r="AE23" s="679" t="s">
        <v>758</v>
      </c>
      <c r="AF23" s="680">
        <f>'Tatsunoko Inputs'!G102</f>
        <v>0</v>
      </c>
      <c r="AG23" s="681"/>
      <c r="AH23" s="681"/>
      <c r="AJ23" s="679" t="s">
        <v>758</v>
      </c>
      <c r="AK23" s="680">
        <f>'Tatsunoko Inputs'!G115</f>
        <v>0</v>
      </c>
      <c r="AL23" s="681"/>
      <c r="AM23" s="681"/>
      <c r="AO23" s="679" t="s">
        <v>758</v>
      </c>
      <c r="AP23" s="680">
        <f>'Tatsunoko Inputs'!G128</f>
        <v>0</v>
      </c>
      <c r="AQ23" s="681"/>
      <c r="AR23" s="681"/>
    </row>
    <row r="24" spans="1:44" ht="17" thickBot="1">
      <c r="A24" s="682" t="s">
        <v>188</v>
      </c>
      <c r="B24" s="681">
        <f>'Tatsunoko Inputs'!I24</f>
        <v>0</v>
      </c>
      <c r="C24" s="681"/>
      <c r="D24" s="683"/>
      <c r="E24" s="668"/>
      <c r="F24" s="682" t="s">
        <v>188</v>
      </c>
      <c r="G24" s="681">
        <f>'Tatsunoko Inputs'!I37</f>
        <v>0</v>
      </c>
      <c r="H24" s="681"/>
      <c r="I24" s="683"/>
      <c r="J24" s="668"/>
      <c r="K24" s="682" t="s">
        <v>188</v>
      </c>
      <c r="L24" s="681">
        <f>'Tatsunoko Inputs'!I50</f>
        <v>0</v>
      </c>
      <c r="M24" s="681"/>
      <c r="N24" s="683"/>
      <c r="O24" s="668"/>
      <c r="P24" s="682" t="s">
        <v>188</v>
      </c>
      <c r="Q24" s="681">
        <f>'Tatsunoko Inputs'!I63</f>
        <v>0</v>
      </c>
      <c r="R24" s="681"/>
      <c r="S24" s="683"/>
      <c r="T24" s="551"/>
      <c r="U24" s="682" t="s">
        <v>188</v>
      </c>
      <c r="V24" s="681">
        <f>'Tatsunoko Inputs'!I76</f>
        <v>0</v>
      </c>
      <c r="W24" s="681"/>
      <c r="X24" s="683"/>
      <c r="Z24" s="682" t="s">
        <v>188</v>
      </c>
      <c r="AA24" s="681">
        <f>'Tatsunoko Inputs'!I89</f>
        <v>0</v>
      </c>
      <c r="AB24" s="681"/>
      <c r="AC24" s="683"/>
      <c r="AE24" s="682" t="s">
        <v>188</v>
      </c>
      <c r="AF24" s="681">
        <f>'Tatsunoko Inputs'!I102</f>
        <v>0</v>
      </c>
      <c r="AG24" s="681"/>
      <c r="AH24" s="683"/>
      <c r="AJ24" s="682" t="s">
        <v>188</v>
      </c>
      <c r="AK24" s="681">
        <f>'Tatsunoko Inputs'!I115</f>
        <v>0</v>
      </c>
      <c r="AL24" s="681"/>
      <c r="AM24" s="683"/>
      <c r="AO24" s="682" t="s">
        <v>188</v>
      </c>
      <c r="AP24" s="681">
        <f>'Tatsunoko Inputs'!I128</f>
        <v>0</v>
      </c>
      <c r="AQ24" s="681"/>
      <c r="AR24" s="683"/>
    </row>
    <row r="25" spans="1:44" ht="16" thickBot="1">
      <c r="A25" s="679" t="s">
        <v>759</v>
      </c>
      <c r="B25" s="680">
        <f>B23*B24</f>
        <v>0</v>
      </c>
      <c r="C25" s="684"/>
      <c r="D25" s="685"/>
      <c r="E25" s="668"/>
      <c r="F25" s="679" t="s">
        <v>759</v>
      </c>
      <c r="G25" s="680">
        <f>G23*G24</f>
        <v>0</v>
      </c>
      <c r="H25" s="684"/>
      <c r="I25" s="685"/>
      <c r="J25" s="668"/>
      <c r="K25" s="679" t="s">
        <v>759</v>
      </c>
      <c r="L25" s="680">
        <f>L23*L24</f>
        <v>0</v>
      </c>
      <c r="M25" s="684"/>
      <c r="N25" s="685"/>
      <c r="O25" s="668"/>
      <c r="P25" s="679" t="s">
        <v>759</v>
      </c>
      <c r="Q25" s="680">
        <f>Q23*Q24</f>
        <v>0</v>
      </c>
      <c r="R25" s="684"/>
      <c r="S25" s="685"/>
      <c r="T25" s="551"/>
      <c r="U25" s="679" t="s">
        <v>759</v>
      </c>
      <c r="V25" s="680">
        <f>V23*V24</f>
        <v>0</v>
      </c>
      <c r="W25" s="684"/>
      <c r="X25" s="685"/>
      <c r="Z25" s="679" t="s">
        <v>759</v>
      </c>
      <c r="AA25" s="680">
        <f>AA23*AA24</f>
        <v>0</v>
      </c>
      <c r="AB25" s="684"/>
      <c r="AC25" s="685"/>
      <c r="AE25" s="679" t="s">
        <v>759</v>
      </c>
      <c r="AF25" s="680">
        <f>AF23*AF24</f>
        <v>0</v>
      </c>
      <c r="AG25" s="684"/>
      <c r="AH25" s="685"/>
      <c r="AJ25" s="679" t="s">
        <v>759</v>
      </c>
      <c r="AK25" s="680">
        <f>AK23*AK24</f>
        <v>0</v>
      </c>
      <c r="AL25" s="684"/>
      <c r="AM25" s="685"/>
      <c r="AO25" s="679" t="s">
        <v>759</v>
      </c>
      <c r="AP25" s="680">
        <f>AP23*AP24</f>
        <v>0</v>
      </c>
      <c r="AQ25" s="684"/>
      <c r="AR25" s="685"/>
    </row>
    <row r="26" spans="1:44" ht="16" thickBot="1">
      <c r="A26" s="679" t="s">
        <v>192</v>
      </c>
      <c r="B26" s="681">
        <f>'Tatsunoko Inputs'!K24</f>
        <v>0</v>
      </c>
      <c r="C26" s="684"/>
      <c r="D26" s="686"/>
      <c r="E26" s="668"/>
      <c r="F26" s="679" t="s">
        <v>192</v>
      </c>
      <c r="G26" s="681">
        <f>'Tatsunoko Inputs'!K37</f>
        <v>0</v>
      </c>
      <c r="H26" s="684"/>
      <c r="I26" s="686"/>
      <c r="J26" s="668"/>
      <c r="K26" s="679" t="s">
        <v>192</v>
      </c>
      <c r="L26" s="681">
        <f>'Tatsunoko Inputs'!K50</f>
        <v>0</v>
      </c>
      <c r="M26" s="684"/>
      <c r="N26" s="686"/>
      <c r="O26" s="668"/>
      <c r="P26" s="679" t="s">
        <v>192</v>
      </c>
      <c r="Q26" s="681">
        <f>'Tatsunoko Inputs'!K63</f>
        <v>0</v>
      </c>
      <c r="R26" s="684"/>
      <c r="S26" s="686"/>
      <c r="U26" s="679" t="s">
        <v>192</v>
      </c>
      <c r="V26" s="681">
        <f>'Tatsunoko Inputs'!K76</f>
        <v>0</v>
      </c>
      <c r="W26" s="684"/>
      <c r="X26" s="686"/>
      <c r="Z26" s="679" t="s">
        <v>192</v>
      </c>
      <c r="AA26" s="681">
        <f>'Tatsunoko Inputs'!K89</f>
        <v>0</v>
      </c>
      <c r="AB26" s="684"/>
      <c r="AC26" s="686"/>
      <c r="AE26" s="679" t="s">
        <v>192</v>
      </c>
      <c r="AF26" s="681">
        <f>'Tatsunoko Inputs'!K102</f>
        <v>0</v>
      </c>
      <c r="AG26" s="684"/>
      <c r="AH26" s="686"/>
      <c r="AJ26" s="679" t="s">
        <v>192</v>
      </c>
      <c r="AK26" s="681">
        <f>'Tatsunoko Inputs'!K115</f>
        <v>0</v>
      </c>
      <c r="AL26" s="684"/>
      <c r="AM26" s="686"/>
      <c r="AO26" s="679" t="s">
        <v>192</v>
      </c>
      <c r="AP26" s="681">
        <f>'Tatsunoko Inputs'!K128</f>
        <v>0</v>
      </c>
      <c r="AQ26" s="684"/>
      <c r="AR26" s="686"/>
    </row>
    <row r="27" spans="1:44" ht="16" thickBot="1">
      <c r="A27" s="687" t="s">
        <v>195</v>
      </c>
      <c r="B27" s="681">
        <f>'Tatsunoko Inputs'!M24</f>
        <v>0</v>
      </c>
      <c r="C27" s="681"/>
      <c r="D27" s="681"/>
      <c r="E27" s="668"/>
      <c r="F27" s="687" t="s">
        <v>195</v>
      </c>
      <c r="G27" s="681">
        <f>'Tatsunoko Inputs'!M37</f>
        <v>0</v>
      </c>
      <c r="H27" s="681"/>
      <c r="I27" s="681"/>
      <c r="J27" s="668"/>
      <c r="K27" s="687" t="s">
        <v>195</v>
      </c>
      <c r="L27" s="681">
        <f>'Tatsunoko Inputs'!M50</f>
        <v>0</v>
      </c>
      <c r="M27" s="681"/>
      <c r="N27" s="681"/>
      <c r="O27" s="668"/>
      <c r="P27" s="687" t="s">
        <v>195</v>
      </c>
      <c r="Q27" s="681">
        <f>'Tatsunoko Inputs'!M63</f>
        <v>0</v>
      </c>
      <c r="R27" s="681"/>
      <c r="S27" s="681"/>
      <c r="U27" s="687" t="s">
        <v>195</v>
      </c>
      <c r="V27" s="681">
        <f>'Tatsunoko Inputs'!M76</f>
        <v>0</v>
      </c>
      <c r="W27" s="681"/>
      <c r="X27" s="681"/>
      <c r="Z27" s="687" t="s">
        <v>195</v>
      </c>
      <c r="AA27" s="681">
        <f>'Tatsunoko Inputs'!M89</f>
        <v>0</v>
      </c>
      <c r="AB27" s="681"/>
      <c r="AC27" s="681"/>
      <c r="AE27" s="687" t="s">
        <v>195</v>
      </c>
      <c r="AF27" s="681">
        <f>'Tatsunoko Inputs'!M102</f>
        <v>0</v>
      </c>
      <c r="AG27" s="681"/>
      <c r="AH27" s="681"/>
      <c r="AJ27" s="687" t="s">
        <v>195</v>
      </c>
      <c r="AK27" s="681">
        <f>'Tatsunoko Inputs'!M115</f>
        <v>0</v>
      </c>
      <c r="AL27" s="681"/>
      <c r="AM27" s="681"/>
      <c r="AO27" s="687" t="s">
        <v>195</v>
      </c>
      <c r="AP27" s="681">
        <f>'Tatsunoko Inputs'!M128</f>
        <v>0</v>
      </c>
      <c r="AQ27" s="681"/>
      <c r="AR27" s="681"/>
    </row>
    <row r="28" spans="1:44" ht="16" thickBot="1">
      <c r="A28" s="679" t="s">
        <v>761</v>
      </c>
      <c r="B28" s="680">
        <f>B25*B26</f>
        <v>0</v>
      </c>
      <c r="C28" s="681"/>
      <c r="D28" s="681"/>
      <c r="E28" s="668"/>
      <c r="F28" s="679" t="s">
        <v>761</v>
      </c>
      <c r="G28" s="680">
        <f>G25*G26</f>
        <v>0</v>
      </c>
      <c r="H28" s="681"/>
      <c r="I28" s="681"/>
      <c r="J28" s="668"/>
      <c r="K28" s="679" t="s">
        <v>761</v>
      </c>
      <c r="L28" s="680">
        <f>L25*L26</f>
        <v>0</v>
      </c>
      <c r="M28" s="681"/>
      <c r="N28" s="681"/>
      <c r="O28" s="668"/>
      <c r="P28" s="679" t="s">
        <v>761</v>
      </c>
      <c r="Q28" s="680">
        <f>Q25*Q26</f>
        <v>0</v>
      </c>
      <c r="R28" s="681"/>
      <c r="S28" s="681"/>
      <c r="U28" s="679" t="s">
        <v>761</v>
      </c>
      <c r="V28" s="680">
        <f>V25*V26</f>
        <v>0</v>
      </c>
      <c r="W28" s="681"/>
      <c r="X28" s="681"/>
      <c r="Z28" s="679" t="s">
        <v>761</v>
      </c>
      <c r="AA28" s="680">
        <f>AA25*AA26</f>
        <v>0</v>
      </c>
      <c r="AB28" s="681"/>
      <c r="AC28" s="681"/>
      <c r="AE28" s="679" t="s">
        <v>761</v>
      </c>
      <c r="AF28" s="680">
        <f>AF25*AF26</f>
        <v>0</v>
      </c>
      <c r="AG28" s="681"/>
      <c r="AH28" s="681"/>
      <c r="AJ28" s="679" t="s">
        <v>761</v>
      </c>
      <c r="AK28" s="680">
        <f>AK25*AK26</f>
        <v>0</v>
      </c>
      <c r="AL28" s="681"/>
      <c r="AM28" s="681"/>
      <c r="AO28" s="679" t="s">
        <v>761</v>
      </c>
      <c r="AP28" s="680">
        <f>AP25*AP26</f>
        <v>0</v>
      </c>
      <c r="AQ28" s="681"/>
      <c r="AR28" s="681"/>
    </row>
    <row r="29" spans="1:44" ht="16" thickBot="1">
      <c r="A29" s="679" t="s">
        <v>762</v>
      </c>
      <c r="B29" s="680">
        <f>B28*B27</f>
        <v>0</v>
      </c>
      <c r="C29" s="681"/>
      <c r="D29" s="681"/>
      <c r="E29" s="668"/>
      <c r="F29" s="679" t="s">
        <v>762</v>
      </c>
      <c r="G29" s="680">
        <f>G28*G27</f>
        <v>0</v>
      </c>
      <c r="H29" s="681"/>
      <c r="I29" s="681"/>
      <c r="J29" s="668"/>
      <c r="K29" s="679" t="s">
        <v>762</v>
      </c>
      <c r="L29" s="680">
        <f>L28*L27</f>
        <v>0</v>
      </c>
      <c r="M29" s="681"/>
      <c r="N29" s="681"/>
      <c r="O29" s="668"/>
      <c r="P29" s="679" t="s">
        <v>762</v>
      </c>
      <c r="Q29" s="680">
        <f>Q28*Q27</f>
        <v>0</v>
      </c>
      <c r="R29" s="681"/>
      <c r="S29" s="681"/>
      <c r="U29" s="679" t="s">
        <v>762</v>
      </c>
      <c r="V29" s="680">
        <f>V28*V27</f>
        <v>0</v>
      </c>
      <c r="W29" s="681"/>
      <c r="X29" s="681"/>
      <c r="Z29" s="679" t="s">
        <v>762</v>
      </c>
      <c r="AA29" s="680">
        <f>AA28*AA27</f>
        <v>0</v>
      </c>
      <c r="AB29" s="681"/>
      <c r="AC29" s="681"/>
      <c r="AE29" s="679" t="s">
        <v>762</v>
      </c>
      <c r="AF29" s="680">
        <f>AF28*AF27</f>
        <v>0</v>
      </c>
      <c r="AG29" s="681"/>
      <c r="AH29" s="681"/>
      <c r="AJ29" s="679" t="s">
        <v>762</v>
      </c>
      <c r="AK29" s="680">
        <f>AK28*AK27</f>
        <v>0</v>
      </c>
      <c r="AL29" s="681"/>
      <c r="AM29" s="681"/>
      <c r="AO29" s="679" t="s">
        <v>762</v>
      </c>
      <c r="AP29" s="680">
        <f>AP28*AP27</f>
        <v>0</v>
      </c>
      <c r="AQ29" s="681"/>
      <c r="AR29" s="681"/>
    </row>
    <row r="30" spans="1:44" ht="16" thickBot="1">
      <c r="A30" s="679" t="s">
        <v>763</v>
      </c>
      <c r="B30" s="688" t="e">
        <f>C34/B29</f>
        <v>#DIV/0!</v>
      </c>
      <c r="C30" s="681"/>
      <c r="D30" s="689"/>
      <c r="E30" s="668"/>
      <c r="F30" s="679" t="s">
        <v>763</v>
      </c>
      <c r="G30" s="688" t="e">
        <f>H34/G29</f>
        <v>#DIV/0!</v>
      </c>
      <c r="H30" s="681"/>
      <c r="I30" s="689"/>
      <c r="J30" s="668"/>
      <c r="K30" s="679" t="s">
        <v>763</v>
      </c>
      <c r="L30" s="688" t="e">
        <f>M34/L29</f>
        <v>#DIV/0!</v>
      </c>
      <c r="M30" s="681"/>
      <c r="N30" s="689"/>
      <c r="O30" s="668"/>
      <c r="P30" s="679" t="s">
        <v>763</v>
      </c>
      <c r="Q30" s="688" t="e">
        <f>R34/Q29</f>
        <v>#DIV/0!</v>
      </c>
      <c r="R30" s="681"/>
      <c r="S30" s="689"/>
      <c r="U30" s="679" t="s">
        <v>763</v>
      </c>
      <c r="V30" s="688" t="e">
        <f>W34/V29</f>
        <v>#DIV/0!</v>
      </c>
      <c r="W30" s="681"/>
      <c r="X30" s="689"/>
      <c r="Z30" s="679" t="s">
        <v>763</v>
      </c>
      <c r="AA30" s="688" t="e">
        <f>AB34/AA29</f>
        <v>#DIV/0!</v>
      </c>
      <c r="AB30" s="681"/>
      <c r="AC30" s="689"/>
      <c r="AE30" s="679" t="s">
        <v>763</v>
      </c>
      <c r="AF30" s="688" t="e">
        <f>AG34/AF29</f>
        <v>#DIV/0!</v>
      </c>
      <c r="AG30" s="681"/>
      <c r="AH30" s="689"/>
      <c r="AJ30" s="679" t="s">
        <v>763</v>
      </c>
      <c r="AK30" s="688" t="e">
        <f>AL34/AK29</f>
        <v>#DIV/0!</v>
      </c>
      <c r="AL30" s="681"/>
      <c r="AM30" s="689"/>
      <c r="AO30" s="679" t="s">
        <v>763</v>
      </c>
      <c r="AP30" s="688" t="e">
        <f>AQ34/AP29</f>
        <v>#DIV/0!</v>
      </c>
      <c r="AQ30" s="681"/>
      <c r="AR30" s="689"/>
    </row>
    <row r="31" spans="1:44" ht="16" thickBot="1">
      <c r="A31" s="690"/>
      <c r="B31" s="691" t="s">
        <v>250</v>
      </c>
      <c r="C31" s="691" t="s">
        <v>764</v>
      </c>
      <c r="D31" s="691" t="s">
        <v>18</v>
      </c>
      <c r="E31" s="668"/>
      <c r="F31" s="690"/>
      <c r="G31" s="691" t="s">
        <v>250</v>
      </c>
      <c r="H31" s="691" t="s">
        <v>764</v>
      </c>
      <c r="I31" s="691" t="s">
        <v>18</v>
      </c>
      <c r="J31" s="668"/>
      <c r="K31" s="690"/>
      <c r="L31" s="691" t="s">
        <v>250</v>
      </c>
      <c r="M31" s="691" t="s">
        <v>764</v>
      </c>
      <c r="N31" s="691" t="s">
        <v>18</v>
      </c>
      <c r="O31" s="668"/>
      <c r="P31" s="690"/>
      <c r="Q31" s="691" t="s">
        <v>250</v>
      </c>
      <c r="R31" s="691" t="s">
        <v>764</v>
      </c>
      <c r="S31" s="691" t="s">
        <v>18</v>
      </c>
      <c r="U31" s="690"/>
      <c r="V31" s="691" t="s">
        <v>250</v>
      </c>
      <c r="W31" s="691" t="s">
        <v>764</v>
      </c>
      <c r="X31" s="691" t="s">
        <v>18</v>
      </c>
      <c r="Z31" s="690"/>
      <c r="AA31" s="691" t="s">
        <v>250</v>
      </c>
      <c r="AB31" s="691" t="s">
        <v>764</v>
      </c>
      <c r="AC31" s="691" t="s">
        <v>18</v>
      </c>
      <c r="AE31" s="690"/>
      <c r="AF31" s="691" t="s">
        <v>250</v>
      </c>
      <c r="AG31" s="691" t="s">
        <v>764</v>
      </c>
      <c r="AH31" s="691" t="s">
        <v>18</v>
      </c>
      <c r="AJ31" s="690"/>
      <c r="AK31" s="691" t="s">
        <v>250</v>
      </c>
      <c r="AL31" s="691" t="s">
        <v>764</v>
      </c>
      <c r="AM31" s="691" t="s">
        <v>18</v>
      </c>
      <c r="AO31" s="690"/>
      <c r="AP31" s="691" t="s">
        <v>250</v>
      </c>
      <c r="AQ31" s="691" t="s">
        <v>764</v>
      </c>
      <c r="AR31" s="691" t="s">
        <v>18</v>
      </c>
    </row>
    <row r="32" spans="1:44" ht="16" thickBot="1">
      <c r="A32" s="692" t="s">
        <v>765</v>
      </c>
      <c r="B32" s="693">
        <f>ROUND(C32*$B$89,2)</f>
        <v>0</v>
      </c>
      <c r="C32" s="694">
        <f>ROUND(D32*'Tatsunoko Inputs'!$G$11,2)</f>
        <v>0</v>
      </c>
      <c r="D32" s="694">
        <f>C21</f>
        <v>0</v>
      </c>
      <c r="E32" s="668"/>
      <c r="F32" s="692" t="s">
        <v>765</v>
      </c>
      <c r="G32" s="693">
        <f>ROUND(H32*$B$89,2)</f>
        <v>0</v>
      </c>
      <c r="H32" s="694">
        <f>ROUND(I32*'Tatsunoko Inputs'!$G$11,2)</f>
        <v>0</v>
      </c>
      <c r="I32" s="694">
        <f>H21</f>
        <v>0</v>
      </c>
      <c r="J32" s="668"/>
      <c r="K32" s="692" t="s">
        <v>765</v>
      </c>
      <c r="L32" s="693">
        <f>ROUND(M32*$B$89,2)</f>
        <v>0</v>
      </c>
      <c r="M32" s="694">
        <f>ROUND(N32*'Tatsunoko Inputs'!$G$11,2)</f>
        <v>0</v>
      </c>
      <c r="N32" s="694">
        <f>M21</f>
        <v>0</v>
      </c>
      <c r="O32" s="668"/>
      <c r="P32" s="692" t="s">
        <v>765</v>
      </c>
      <c r="Q32" s="693">
        <f>ROUND(R32*$B$89,2)</f>
        <v>0</v>
      </c>
      <c r="R32" s="694">
        <f>ROUND(S32*'Tatsunoko Inputs'!$G$11,2)</f>
        <v>0</v>
      </c>
      <c r="S32" s="694">
        <f>R21</f>
        <v>0</v>
      </c>
      <c r="U32" s="692" t="s">
        <v>765</v>
      </c>
      <c r="V32" s="693">
        <f>ROUND(W32*$B$89,2)</f>
        <v>0</v>
      </c>
      <c r="W32" s="694">
        <f>ROUND(X32*'Tatsunoko Inputs'!$G$11,2)</f>
        <v>0</v>
      </c>
      <c r="X32" s="694">
        <f>W21</f>
        <v>0</v>
      </c>
      <c r="Z32" s="692" t="s">
        <v>765</v>
      </c>
      <c r="AA32" s="693">
        <f>ROUND(AB32*$B$89,2)</f>
        <v>0</v>
      </c>
      <c r="AB32" s="694">
        <f>ROUND(AC32*'Tatsunoko Inputs'!$G$11,2)</f>
        <v>0</v>
      </c>
      <c r="AC32" s="694">
        <f>AB21</f>
        <v>0</v>
      </c>
      <c r="AE32" s="692" t="s">
        <v>765</v>
      </c>
      <c r="AF32" s="693">
        <f>ROUND(AG32*$B$89,2)</f>
        <v>0</v>
      </c>
      <c r="AG32" s="694">
        <f>ROUND(AH32*'Tatsunoko Inputs'!$G$11,2)</f>
        <v>0</v>
      </c>
      <c r="AH32" s="694">
        <f>AG21</f>
        <v>0</v>
      </c>
      <c r="AJ32" s="692" t="s">
        <v>765</v>
      </c>
      <c r="AK32" s="693">
        <f>ROUND(AL32*$B$89,2)</f>
        <v>0</v>
      </c>
      <c r="AL32" s="694">
        <f>ROUND(AM32*'Tatsunoko Inputs'!$G$11,2)</f>
        <v>0</v>
      </c>
      <c r="AM32" s="694">
        <f>AL21</f>
        <v>0</v>
      </c>
      <c r="AO32" s="692" t="s">
        <v>765</v>
      </c>
      <c r="AP32" s="693">
        <f>ROUND(AQ32*$B$89,2)</f>
        <v>0</v>
      </c>
      <c r="AQ32" s="694">
        <f>ROUND(AR32*'Tatsunoko Inputs'!$G$11,2)</f>
        <v>0</v>
      </c>
      <c r="AR32" s="694">
        <f>AQ21</f>
        <v>0</v>
      </c>
    </row>
    <row r="33" spans="1:44" ht="16" thickBot="1">
      <c r="A33" s="692" t="s">
        <v>766</v>
      </c>
      <c r="B33" s="693">
        <f>ROUND(C33*$B$89,2)</f>
        <v>0</v>
      </c>
      <c r="C33" s="695">
        <f>ROUND(D33*'Tatsunoko Inputs'!$G$11,2)</f>
        <v>0</v>
      </c>
      <c r="D33" s="695">
        <f>ROUND(D32*B24,2)</f>
        <v>0</v>
      </c>
      <c r="E33" s="668"/>
      <c r="F33" s="692" t="s">
        <v>766</v>
      </c>
      <c r="G33" s="693">
        <f>ROUND(H33*$B$89,2)</f>
        <v>0</v>
      </c>
      <c r="H33" s="695">
        <f>ROUND(I33*'Tatsunoko Inputs'!$G$11,2)</f>
        <v>0</v>
      </c>
      <c r="I33" s="695">
        <f>ROUND(I32*G24,2)</f>
        <v>0</v>
      </c>
      <c r="J33" s="668"/>
      <c r="K33" s="692" t="s">
        <v>766</v>
      </c>
      <c r="L33" s="693">
        <f>ROUND(M33*$B$89,2)</f>
        <v>0</v>
      </c>
      <c r="M33" s="695">
        <f>ROUND(N33*'Tatsunoko Inputs'!$G$11,2)</f>
        <v>0</v>
      </c>
      <c r="N33" s="695">
        <f>ROUND(N32*L24,2)</f>
        <v>0</v>
      </c>
      <c r="O33" s="668"/>
      <c r="P33" s="692" t="s">
        <v>766</v>
      </c>
      <c r="Q33" s="693">
        <f>ROUND(R33*$B$89,2)</f>
        <v>0</v>
      </c>
      <c r="R33" s="695">
        <f>ROUND(S33*'Tatsunoko Inputs'!$G$11,2)</f>
        <v>0</v>
      </c>
      <c r="S33" s="695">
        <f>ROUND(S32*Q24,2)</f>
        <v>0</v>
      </c>
      <c r="U33" s="692" t="s">
        <v>766</v>
      </c>
      <c r="V33" s="693">
        <f>ROUND(W33*$B$89,2)</f>
        <v>0</v>
      </c>
      <c r="W33" s="695">
        <f>ROUND(X33*'Tatsunoko Inputs'!$G$11,2)</f>
        <v>0</v>
      </c>
      <c r="X33" s="695">
        <f>ROUND(X32*V24,2)</f>
        <v>0</v>
      </c>
      <c r="Z33" s="692" t="s">
        <v>766</v>
      </c>
      <c r="AA33" s="693">
        <f>ROUND(AB33*$B$89,2)</f>
        <v>0</v>
      </c>
      <c r="AB33" s="695">
        <f>ROUND(AC33*'Tatsunoko Inputs'!$G$11,2)</f>
        <v>0</v>
      </c>
      <c r="AC33" s="695">
        <f>ROUND(AC32*AA24,2)</f>
        <v>0</v>
      </c>
      <c r="AE33" s="692" t="s">
        <v>766</v>
      </c>
      <c r="AF33" s="693">
        <f>ROUND(AG33*$B$89,2)</f>
        <v>0</v>
      </c>
      <c r="AG33" s="695">
        <f>ROUND(AH33*'Tatsunoko Inputs'!$G$11,2)</f>
        <v>0</v>
      </c>
      <c r="AH33" s="695">
        <f>ROUND(AH32*AF24,2)</f>
        <v>0</v>
      </c>
      <c r="AJ33" s="692" t="s">
        <v>766</v>
      </c>
      <c r="AK33" s="693">
        <f>ROUND(AL33*$B$89,2)</f>
        <v>0</v>
      </c>
      <c r="AL33" s="695">
        <f>ROUND(AM33*'Tatsunoko Inputs'!$G$11,2)</f>
        <v>0</v>
      </c>
      <c r="AM33" s="695">
        <f>ROUND(AM32*AK24,2)</f>
        <v>0</v>
      </c>
      <c r="AO33" s="692" t="s">
        <v>766</v>
      </c>
      <c r="AP33" s="693">
        <f>ROUND(AQ33*$B$89,2)</f>
        <v>0</v>
      </c>
      <c r="AQ33" s="695">
        <f>ROUND(AR33*'Tatsunoko Inputs'!$G$11,2)</f>
        <v>0</v>
      </c>
      <c r="AR33" s="695">
        <f>ROUND(AR32*AP24,2)</f>
        <v>0</v>
      </c>
    </row>
    <row r="34" spans="1:44" ht="16" thickBot="1">
      <c r="A34" s="692" t="s">
        <v>767</v>
      </c>
      <c r="B34" s="693">
        <f>ROUND(B33*$B23,2)</f>
        <v>0</v>
      </c>
      <c r="C34" s="695">
        <f>ROUND(C33*B23,2)</f>
        <v>0</v>
      </c>
      <c r="D34" s="695">
        <f>ROUND(D33*B23,2)</f>
        <v>0</v>
      </c>
      <c r="E34" s="668"/>
      <c r="F34" s="692" t="s">
        <v>767</v>
      </c>
      <c r="G34" s="693">
        <f>ROUND(G33*$B23,2)</f>
        <v>0</v>
      </c>
      <c r="H34" s="695">
        <f>ROUND(H33*G23,2)</f>
        <v>0</v>
      </c>
      <c r="I34" s="695">
        <f>ROUND(I33*G23,2)</f>
        <v>0</v>
      </c>
      <c r="J34" s="668"/>
      <c r="K34" s="692" t="s">
        <v>767</v>
      </c>
      <c r="L34" s="693">
        <f>ROUND(L33*$B23,2)</f>
        <v>0</v>
      </c>
      <c r="M34" s="695">
        <f>ROUND(M33*L23,2)</f>
        <v>0</v>
      </c>
      <c r="N34" s="695">
        <f>ROUND(N33*L23,2)</f>
        <v>0</v>
      </c>
      <c r="O34" s="668"/>
      <c r="P34" s="692" t="s">
        <v>767</v>
      </c>
      <c r="Q34" s="693">
        <f>ROUND(Q33*$B23,2)</f>
        <v>0</v>
      </c>
      <c r="R34" s="695">
        <f>ROUND(R33*Q23,2)</f>
        <v>0</v>
      </c>
      <c r="S34" s="695">
        <f>ROUND(S33*Q23,2)</f>
        <v>0</v>
      </c>
      <c r="U34" s="692" t="s">
        <v>767</v>
      </c>
      <c r="V34" s="693">
        <f>ROUND(V33*$B23,2)</f>
        <v>0</v>
      </c>
      <c r="W34" s="695">
        <f>ROUND(W33*V23,2)</f>
        <v>0</v>
      </c>
      <c r="X34" s="695">
        <f>ROUND(X33*V23,2)</f>
        <v>0</v>
      </c>
      <c r="Z34" s="692" t="s">
        <v>767</v>
      </c>
      <c r="AA34" s="693">
        <f>ROUND(AA33*$B23,2)</f>
        <v>0</v>
      </c>
      <c r="AB34" s="695">
        <f>ROUND(AB33*AA23,2)</f>
        <v>0</v>
      </c>
      <c r="AC34" s="695">
        <f>ROUND(AC33*AA23,2)</f>
        <v>0</v>
      </c>
      <c r="AE34" s="692" t="s">
        <v>767</v>
      </c>
      <c r="AF34" s="693">
        <f>ROUND(AF33*$B23,2)</f>
        <v>0</v>
      </c>
      <c r="AG34" s="695">
        <f>ROUND(AG33*AF23,2)</f>
        <v>0</v>
      </c>
      <c r="AH34" s="695">
        <f>ROUND(AH33*AF23,2)</f>
        <v>0</v>
      </c>
      <c r="AJ34" s="692" t="s">
        <v>767</v>
      </c>
      <c r="AK34" s="693">
        <f>ROUND(AK33*$B23,2)</f>
        <v>0</v>
      </c>
      <c r="AL34" s="695">
        <f>ROUND(AL33*AK23,2)</f>
        <v>0</v>
      </c>
      <c r="AM34" s="695">
        <f>ROUND(AM33*AK23,2)</f>
        <v>0</v>
      </c>
      <c r="AO34" s="692" t="s">
        <v>767</v>
      </c>
      <c r="AP34" s="693">
        <f>ROUND(AP33*$B23,2)</f>
        <v>0</v>
      </c>
      <c r="AQ34" s="695">
        <f>ROUND(AQ33*AP23,2)</f>
        <v>0</v>
      </c>
      <c r="AR34" s="695">
        <f>ROUND(AR33*AP23,2)</f>
        <v>0</v>
      </c>
    </row>
    <row r="35" spans="1:44" ht="16" thickBot="1">
      <c r="A35" s="668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  <c r="Q35" s="668"/>
      <c r="R35" s="668"/>
      <c r="S35" s="668"/>
      <c r="T35" s="551"/>
      <c r="U35" s="668"/>
      <c r="V35" s="668"/>
      <c r="W35" s="668"/>
      <c r="X35" s="668"/>
      <c r="Z35" s="668"/>
      <c r="AA35" s="668"/>
      <c r="AB35" s="668"/>
      <c r="AC35" s="668"/>
      <c r="AE35" s="668"/>
      <c r="AF35" s="668"/>
      <c r="AG35" s="668"/>
      <c r="AH35" s="668"/>
      <c r="AJ35" s="668"/>
      <c r="AK35" s="668"/>
      <c r="AL35" s="668"/>
      <c r="AM35" s="668"/>
      <c r="AO35" s="668"/>
      <c r="AP35" s="668"/>
      <c r="AQ35" s="668"/>
      <c r="AR35" s="668"/>
    </row>
    <row r="36" spans="1:44" ht="16" thickBot="1">
      <c r="A36" s="668"/>
      <c r="B36" s="668"/>
      <c r="C36" s="674" t="s">
        <v>754</v>
      </c>
      <c r="D36" s="675" t="s">
        <v>755</v>
      </c>
      <c r="E36" s="668"/>
      <c r="F36" s="668"/>
      <c r="G36" s="668"/>
      <c r="H36" s="674" t="s">
        <v>754</v>
      </c>
      <c r="I36" s="675" t="s">
        <v>755</v>
      </c>
      <c r="J36" s="668"/>
      <c r="K36" s="668"/>
      <c r="L36" s="668"/>
      <c r="M36" s="674" t="s">
        <v>754</v>
      </c>
      <c r="N36" s="675" t="s">
        <v>755</v>
      </c>
      <c r="O36" s="668"/>
      <c r="P36" s="668"/>
      <c r="Q36" s="668"/>
      <c r="R36" s="674" t="s">
        <v>754</v>
      </c>
      <c r="S36" s="675" t="s">
        <v>755</v>
      </c>
      <c r="T36" s="551"/>
      <c r="U36" s="668"/>
      <c r="V36" s="668"/>
      <c r="W36" s="674" t="s">
        <v>754</v>
      </c>
      <c r="X36" s="675" t="s">
        <v>755</v>
      </c>
      <c r="Z36" s="668"/>
      <c r="AA36" s="668"/>
      <c r="AB36" s="674" t="s">
        <v>754</v>
      </c>
      <c r="AC36" s="675" t="s">
        <v>755</v>
      </c>
      <c r="AE36" s="668"/>
      <c r="AF36" s="668"/>
      <c r="AG36" s="674" t="s">
        <v>754</v>
      </c>
      <c r="AH36" s="675" t="s">
        <v>755</v>
      </c>
      <c r="AJ36" s="668"/>
      <c r="AK36" s="668"/>
      <c r="AL36" s="674" t="s">
        <v>754</v>
      </c>
      <c r="AM36" s="675" t="s">
        <v>755</v>
      </c>
      <c r="AO36" s="668"/>
      <c r="AP36" s="668"/>
      <c r="AQ36" s="674" t="s">
        <v>754</v>
      </c>
      <c r="AR36" s="675" t="s">
        <v>755</v>
      </c>
    </row>
    <row r="37" spans="1:44" s="677" customFormat="1" ht="16">
      <c r="A37" s="676" t="s">
        <v>768</v>
      </c>
      <c r="B37" s="1172" t="s">
        <v>18</v>
      </c>
      <c r="C37" s="1176">
        <f>'Tatsunoko Inputs'!E25</f>
        <v>24.99</v>
      </c>
      <c r="D37" s="1178">
        <f>C37*B40</f>
        <v>999.59999999999991</v>
      </c>
      <c r="E37" s="1179"/>
      <c r="F37" s="676" t="s">
        <v>768</v>
      </c>
      <c r="G37" s="1172" t="s">
        <v>18</v>
      </c>
      <c r="H37" s="1176">
        <f>'Tatsunoko Inputs'!E38</f>
        <v>24.99</v>
      </c>
      <c r="I37" s="1178">
        <f>H37*G40</f>
        <v>999.59999999999991</v>
      </c>
      <c r="J37" s="1179"/>
      <c r="K37" s="676" t="s">
        <v>768</v>
      </c>
      <c r="L37" s="1172" t="s">
        <v>18</v>
      </c>
      <c r="M37" s="1176">
        <f>'Tatsunoko Inputs'!E51</f>
        <v>24.99</v>
      </c>
      <c r="N37" s="1178">
        <f>M37*L40</f>
        <v>999.59999999999991</v>
      </c>
      <c r="O37" s="1180"/>
      <c r="P37" s="676" t="s">
        <v>768</v>
      </c>
      <c r="Q37" s="1172" t="s">
        <v>18</v>
      </c>
      <c r="R37" s="1176">
        <f>'Tatsunoko Inputs'!E64</f>
        <v>24.99</v>
      </c>
      <c r="S37" s="1178">
        <f>R37*Q40</f>
        <v>999.59999999999991</v>
      </c>
      <c r="T37" s="569"/>
      <c r="U37" s="676" t="s">
        <v>768</v>
      </c>
      <c r="V37" s="1172" t="s">
        <v>18</v>
      </c>
      <c r="W37" s="1176">
        <f>'Tatsunoko Inputs'!E77</f>
        <v>0</v>
      </c>
      <c r="X37" s="1178">
        <f>W37*V40</f>
        <v>0</v>
      </c>
      <c r="Z37" s="676" t="s">
        <v>768</v>
      </c>
      <c r="AA37" s="1172" t="s">
        <v>18</v>
      </c>
      <c r="AB37" s="1176">
        <f>'Tatsunoko Inputs'!E90</f>
        <v>0</v>
      </c>
      <c r="AC37" s="1178">
        <f>AB37*AA40</f>
        <v>0</v>
      </c>
      <c r="AE37" s="676" t="s">
        <v>768</v>
      </c>
      <c r="AF37" s="1172" t="s">
        <v>18</v>
      </c>
      <c r="AG37" s="1176">
        <f>'Tatsunoko Inputs'!E103</f>
        <v>0</v>
      </c>
      <c r="AH37" s="1178">
        <f>AG37*AF40</f>
        <v>0</v>
      </c>
      <c r="AJ37" s="676" t="s">
        <v>768</v>
      </c>
      <c r="AK37" s="1172" t="s">
        <v>18</v>
      </c>
      <c r="AL37" s="1176">
        <f>'Tatsunoko Inputs'!E116</f>
        <v>0</v>
      </c>
      <c r="AM37" s="1178">
        <f>AL37*AK40</f>
        <v>0</v>
      </c>
      <c r="AO37" s="676" t="s">
        <v>768</v>
      </c>
      <c r="AP37" s="1172" t="s">
        <v>18</v>
      </c>
      <c r="AQ37" s="1176">
        <f>'Tatsunoko Inputs'!E129</f>
        <v>0</v>
      </c>
      <c r="AR37" s="1178">
        <f>AQ37*AP40</f>
        <v>0</v>
      </c>
    </row>
    <row r="38" spans="1:44" s="677" customFormat="1" ht="16" thickBot="1">
      <c r="A38" s="678" t="s">
        <v>769</v>
      </c>
      <c r="B38" s="1173"/>
      <c r="C38" s="1177"/>
      <c r="D38" s="1175"/>
      <c r="E38" s="1179"/>
      <c r="F38" s="678" t="s">
        <v>769</v>
      </c>
      <c r="G38" s="1173"/>
      <c r="H38" s="1177"/>
      <c r="I38" s="1175"/>
      <c r="J38" s="1179"/>
      <c r="K38" s="678" t="s">
        <v>769</v>
      </c>
      <c r="L38" s="1173"/>
      <c r="M38" s="1177"/>
      <c r="N38" s="1175"/>
      <c r="O38" s="1180"/>
      <c r="P38" s="678" t="s">
        <v>769</v>
      </c>
      <c r="Q38" s="1173"/>
      <c r="R38" s="1177"/>
      <c r="S38" s="1175"/>
      <c r="T38" s="569"/>
      <c r="U38" s="678" t="s">
        <v>769</v>
      </c>
      <c r="V38" s="1173"/>
      <c r="W38" s="1177"/>
      <c r="X38" s="1175"/>
      <c r="Z38" s="678" t="s">
        <v>769</v>
      </c>
      <c r="AA38" s="1173"/>
      <c r="AB38" s="1177"/>
      <c r="AC38" s="1175"/>
      <c r="AE38" s="678" t="s">
        <v>769</v>
      </c>
      <c r="AF38" s="1173"/>
      <c r="AG38" s="1177"/>
      <c r="AH38" s="1175"/>
      <c r="AJ38" s="678" t="s">
        <v>769</v>
      </c>
      <c r="AK38" s="1173"/>
      <c r="AL38" s="1177"/>
      <c r="AM38" s="1175"/>
      <c r="AO38" s="678" t="s">
        <v>769</v>
      </c>
      <c r="AP38" s="1173"/>
      <c r="AQ38" s="1177"/>
      <c r="AR38" s="1175"/>
    </row>
    <row r="39" spans="1:44" ht="16" thickBot="1">
      <c r="A39" s="679" t="s">
        <v>758</v>
      </c>
      <c r="B39" s="680">
        <f>'Tatsunoko Inputs'!G25</f>
        <v>750</v>
      </c>
      <c r="C39" s="681"/>
      <c r="D39" s="681"/>
      <c r="E39" s="668"/>
      <c r="F39" s="679" t="s">
        <v>758</v>
      </c>
      <c r="G39" s="680">
        <f>'Tatsunoko Inputs'!G38</f>
        <v>500</v>
      </c>
      <c r="H39" s="681"/>
      <c r="I39" s="681"/>
      <c r="J39" s="668"/>
      <c r="K39" s="679" t="s">
        <v>758</v>
      </c>
      <c r="L39" s="680">
        <f>'Tatsunoko Inputs'!G51</f>
        <v>500</v>
      </c>
      <c r="M39" s="681"/>
      <c r="N39" s="681"/>
      <c r="O39" s="668"/>
      <c r="P39" s="679" t="s">
        <v>758</v>
      </c>
      <c r="Q39" s="680">
        <f>'Tatsunoko Inputs'!G64</f>
        <v>500</v>
      </c>
      <c r="R39" s="681"/>
      <c r="S39" s="681"/>
      <c r="T39" s="551"/>
      <c r="U39" s="679" t="s">
        <v>758</v>
      </c>
      <c r="V39" s="680">
        <f>'Tatsunoko Inputs'!G77</f>
        <v>0</v>
      </c>
      <c r="W39" s="681"/>
      <c r="X39" s="681"/>
      <c r="Z39" s="679" t="s">
        <v>758</v>
      </c>
      <c r="AA39" s="680">
        <f>'Tatsunoko Inputs'!G90</f>
        <v>0</v>
      </c>
      <c r="AB39" s="681"/>
      <c r="AC39" s="681"/>
      <c r="AE39" s="679" t="s">
        <v>758</v>
      </c>
      <c r="AF39" s="680">
        <f>'Tatsunoko Inputs'!G103</f>
        <v>0</v>
      </c>
      <c r="AG39" s="681"/>
      <c r="AH39" s="681"/>
      <c r="AJ39" s="679" t="s">
        <v>758</v>
      </c>
      <c r="AK39" s="680">
        <f>'Tatsunoko Inputs'!G116</f>
        <v>0</v>
      </c>
      <c r="AL39" s="681"/>
      <c r="AM39" s="681"/>
      <c r="AO39" s="679" t="s">
        <v>758</v>
      </c>
      <c r="AP39" s="680">
        <f>'Tatsunoko Inputs'!G129</f>
        <v>0</v>
      </c>
      <c r="AQ39" s="681"/>
      <c r="AR39" s="681"/>
    </row>
    <row r="40" spans="1:44" ht="17" thickBot="1">
      <c r="A40" s="682" t="s">
        <v>188</v>
      </c>
      <c r="B40" s="681">
        <f>'Tatsunoko Inputs'!I25</f>
        <v>40</v>
      </c>
      <c r="C40" s="681"/>
      <c r="D40" s="683"/>
      <c r="E40" s="668"/>
      <c r="F40" s="682" t="s">
        <v>188</v>
      </c>
      <c r="G40" s="681">
        <f>'Tatsunoko Inputs'!I38</f>
        <v>40</v>
      </c>
      <c r="H40" s="681"/>
      <c r="I40" s="683"/>
      <c r="J40" s="668"/>
      <c r="K40" s="682" t="s">
        <v>188</v>
      </c>
      <c r="L40" s="681">
        <f>'Tatsunoko Inputs'!I51</f>
        <v>40</v>
      </c>
      <c r="M40" s="681"/>
      <c r="N40" s="683"/>
      <c r="O40" s="668"/>
      <c r="P40" s="682" t="s">
        <v>188</v>
      </c>
      <c r="Q40" s="681">
        <f>'Tatsunoko Inputs'!I64</f>
        <v>40</v>
      </c>
      <c r="R40" s="681"/>
      <c r="S40" s="683"/>
      <c r="T40" s="551"/>
      <c r="U40" s="682" t="s">
        <v>188</v>
      </c>
      <c r="V40" s="681">
        <f>'Tatsunoko Inputs'!I77</f>
        <v>0</v>
      </c>
      <c r="W40" s="681"/>
      <c r="X40" s="683"/>
      <c r="Z40" s="682" t="s">
        <v>188</v>
      </c>
      <c r="AA40" s="681">
        <f>'Tatsunoko Inputs'!I90</f>
        <v>0</v>
      </c>
      <c r="AB40" s="681"/>
      <c r="AC40" s="683"/>
      <c r="AE40" s="682" t="s">
        <v>188</v>
      </c>
      <c r="AF40" s="681">
        <f>'Tatsunoko Inputs'!I103</f>
        <v>0</v>
      </c>
      <c r="AG40" s="681"/>
      <c r="AH40" s="683"/>
      <c r="AJ40" s="682" t="s">
        <v>188</v>
      </c>
      <c r="AK40" s="681">
        <f>'Tatsunoko Inputs'!I116</f>
        <v>0</v>
      </c>
      <c r="AL40" s="681"/>
      <c r="AM40" s="683"/>
      <c r="AO40" s="682" t="s">
        <v>188</v>
      </c>
      <c r="AP40" s="681">
        <f>'Tatsunoko Inputs'!I129</f>
        <v>0</v>
      </c>
      <c r="AQ40" s="681"/>
      <c r="AR40" s="683"/>
    </row>
    <row r="41" spans="1:44" ht="16" thickBot="1">
      <c r="A41" s="679" t="s">
        <v>759</v>
      </c>
      <c r="B41" s="680">
        <f>B39*B40</f>
        <v>30000</v>
      </c>
      <c r="C41" s="684"/>
      <c r="D41" s="685"/>
      <c r="E41" s="668"/>
      <c r="F41" s="679" t="s">
        <v>759</v>
      </c>
      <c r="G41" s="680">
        <f>G39*G40</f>
        <v>20000</v>
      </c>
      <c r="H41" s="684"/>
      <c r="I41" s="685"/>
      <c r="J41" s="668"/>
      <c r="K41" s="679" t="s">
        <v>759</v>
      </c>
      <c r="L41" s="680">
        <f>L39*L40</f>
        <v>20000</v>
      </c>
      <c r="M41" s="684"/>
      <c r="N41" s="685"/>
      <c r="O41" s="668"/>
      <c r="P41" s="679" t="s">
        <v>759</v>
      </c>
      <c r="Q41" s="680">
        <f>Q39*Q40</f>
        <v>20000</v>
      </c>
      <c r="R41" s="684"/>
      <c r="S41" s="685"/>
      <c r="T41" s="551"/>
      <c r="U41" s="679" t="s">
        <v>759</v>
      </c>
      <c r="V41" s="680">
        <f>V39*V40</f>
        <v>0</v>
      </c>
      <c r="W41" s="684"/>
      <c r="X41" s="685"/>
      <c r="Z41" s="679" t="s">
        <v>759</v>
      </c>
      <c r="AA41" s="680">
        <f>AA39*AA40</f>
        <v>0</v>
      </c>
      <c r="AB41" s="684"/>
      <c r="AC41" s="685"/>
      <c r="AE41" s="679" t="s">
        <v>759</v>
      </c>
      <c r="AF41" s="680">
        <f>AF39*AF40</f>
        <v>0</v>
      </c>
      <c r="AG41" s="684"/>
      <c r="AH41" s="685"/>
      <c r="AJ41" s="679" t="s">
        <v>759</v>
      </c>
      <c r="AK41" s="680">
        <f>AK39*AK40</f>
        <v>0</v>
      </c>
      <c r="AL41" s="684"/>
      <c r="AM41" s="685"/>
      <c r="AO41" s="679" t="s">
        <v>759</v>
      </c>
      <c r="AP41" s="680">
        <f>AP39*AP40</f>
        <v>0</v>
      </c>
      <c r="AQ41" s="684"/>
      <c r="AR41" s="685"/>
    </row>
    <row r="42" spans="1:44" ht="16" thickBot="1">
      <c r="A42" s="679" t="s">
        <v>192</v>
      </c>
      <c r="B42" s="681">
        <f>'Tatsunoko Inputs'!K25</f>
        <v>8</v>
      </c>
      <c r="C42" s="684"/>
      <c r="D42" s="686"/>
      <c r="E42" s="668"/>
      <c r="F42" s="679" t="s">
        <v>192</v>
      </c>
      <c r="G42" s="681">
        <f>'Tatsunoko Inputs'!K38</f>
        <v>8</v>
      </c>
      <c r="H42" s="684"/>
      <c r="I42" s="686"/>
      <c r="J42" s="668"/>
      <c r="K42" s="679" t="s">
        <v>192</v>
      </c>
      <c r="L42" s="681">
        <f>'Tatsunoko Inputs'!K51</f>
        <v>8</v>
      </c>
      <c r="M42" s="684"/>
      <c r="N42" s="686"/>
      <c r="O42" s="668"/>
      <c r="P42" s="679" t="s">
        <v>192</v>
      </c>
      <c r="Q42" s="681">
        <f>'Tatsunoko Inputs'!K64</f>
        <v>8</v>
      </c>
      <c r="R42" s="684"/>
      <c r="S42" s="686"/>
      <c r="U42" s="679" t="s">
        <v>192</v>
      </c>
      <c r="V42" s="681">
        <f>'Tatsunoko Inputs'!K77</f>
        <v>0</v>
      </c>
      <c r="W42" s="684"/>
      <c r="X42" s="686"/>
      <c r="Z42" s="679" t="s">
        <v>192</v>
      </c>
      <c r="AA42" s="681">
        <f>'Tatsunoko Inputs'!K90</f>
        <v>0</v>
      </c>
      <c r="AB42" s="684"/>
      <c r="AC42" s="686"/>
      <c r="AE42" s="679" t="s">
        <v>192</v>
      </c>
      <c r="AF42" s="681">
        <f>'Tatsunoko Inputs'!K103</f>
        <v>0</v>
      </c>
      <c r="AG42" s="684"/>
      <c r="AH42" s="686"/>
      <c r="AJ42" s="679" t="s">
        <v>192</v>
      </c>
      <c r="AK42" s="681">
        <f>'Tatsunoko Inputs'!K116</f>
        <v>0</v>
      </c>
      <c r="AL42" s="684"/>
      <c r="AM42" s="686"/>
      <c r="AO42" s="679" t="s">
        <v>192</v>
      </c>
      <c r="AP42" s="681">
        <f>'Tatsunoko Inputs'!K129</f>
        <v>0</v>
      </c>
      <c r="AQ42" s="684"/>
      <c r="AR42" s="686"/>
    </row>
    <row r="43" spans="1:44" ht="16" thickBot="1">
      <c r="A43" s="687" t="s">
        <v>195</v>
      </c>
      <c r="B43" s="681">
        <f>'Tatsunoko Inputs'!M25</f>
        <v>4</v>
      </c>
      <c r="C43" s="681"/>
      <c r="D43" s="681"/>
      <c r="E43" s="668"/>
      <c r="F43" s="687" t="s">
        <v>195</v>
      </c>
      <c r="G43" s="681">
        <f>'Tatsunoko Inputs'!M38</f>
        <v>4</v>
      </c>
      <c r="H43" s="681"/>
      <c r="I43" s="681"/>
      <c r="J43" s="668"/>
      <c r="K43" s="687" t="s">
        <v>195</v>
      </c>
      <c r="L43" s="681">
        <f>'Tatsunoko Inputs'!M51</f>
        <v>4</v>
      </c>
      <c r="M43" s="681"/>
      <c r="N43" s="681"/>
      <c r="O43" s="668"/>
      <c r="P43" s="687" t="s">
        <v>195</v>
      </c>
      <c r="Q43" s="681">
        <f>'Tatsunoko Inputs'!M64</f>
        <v>4</v>
      </c>
      <c r="R43" s="681"/>
      <c r="S43" s="681"/>
      <c r="U43" s="687" t="s">
        <v>195</v>
      </c>
      <c r="V43" s="681">
        <f>'Tatsunoko Inputs'!M77</f>
        <v>0</v>
      </c>
      <c r="W43" s="681"/>
      <c r="X43" s="681"/>
      <c r="Z43" s="687" t="s">
        <v>195</v>
      </c>
      <c r="AA43" s="681">
        <f>'Tatsunoko Inputs'!M90</f>
        <v>0</v>
      </c>
      <c r="AB43" s="681"/>
      <c r="AC43" s="681"/>
      <c r="AE43" s="687" t="s">
        <v>195</v>
      </c>
      <c r="AF43" s="681">
        <f>'Tatsunoko Inputs'!M103</f>
        <v>0</v>
      </c>
      <c r="AG43" s="681"/>
      <c r="AH43" s="681"/>
      <c r="AJ43" s="687" t="s">
        <v>195</v>
      </c>
      <c r="AK43" s="681">
        <f>'Tatsunoko Inputs'!M116</f>
        <v>0</v>
      </c>
      <c r="AL43" s="681"/>
      <c r="AM43" s="681"/>
      <c r="AO43" s="687" t="s">
        <v>195</v>
      </c>
      <c r="AP43" s="681">
        <f>'Tatsunoko Inputs'!M129</f>
        <v>0</v>
      </c>
      <c r="AQ43" s="681"/>
      <c r="AR43" s="681"/>
    </row>
    <row r="44" spans="1:44" ht="16" thickBot="1">
      <c r="A44" s="679" t="s">
        <v>761</v>
      </c>
      <c r="B44" s="680">
        <f>B41*B42</f>
        <v>240000</v>
      </c>
      <c r="C44" s="681"/>
      <c r="D44" s="681"/>
      <c r="E44" s="668"/>
      <c r="F44" s="679" t="s">
        <v>761</v>
      </c>
      <c r="G44" s="680">
        <f>G41*G42</f>
        <v>160000</v>
      </c>
      <c r="H44" s="681"/>
      <c r="I44" s="681"/>
      <c r="J44" s="668"/>
      <c r="K44" s="679" t="s">
        <v>761</v>
      </c>
      <c r="L44" s="680">
        <f>L41*L42</f>
        <v>160000</v>
      </c>
      <c r="M44" s="681"/>
      <c r="N44" s="681"/>
      <c r="O44" s="668"/>
      <c r="P44" s="679" t="s">
        <v>761</v>
      </c>
      <c r="Q44" s="680">
        <f>Q41*Q42</f>
        <v>160000</v>
      </c>
      <c r="R44" s="681"/>
      <c r="S44" s="681"/>
      <c r="U44" s="679" t="s">
        <v>761</v>
      </c>
      <c r="V44" s="680">
        <f>V41*V42</f>
        <v>0</v>
      </c>
      <c r="W44" s="681"/>
      <c r="X44" s="681"/>
      <c r="Z44" s="679" t="s">
        <v>761</v>
      </c>
      <c r="AA44" s="680">
        <f>AA41*AA42</f>
        <v>0</v>
      </c>
      <c r="AB44" s="681"/>
      <c r="AC44" s="681"/>
      <c r="AE44" s="679" t="s">
        <v>761</v>
      </c>
      <c r="AF44" s="680">
        <f>AF41*AF42</f>
        <v>0</v>
      </c>
      <c r="AG44" s="681"/>
      <c r="AH44" s="681"/>
      <c r="AJ44" s="679" t="s">
        <v>761</v>
      </c>
      <c r="AK44" s="680">
        <f>AK41*AK42</f>
        <v>0</v>
      </c>
      <c r="AL44" s="681"/>
      <c r="AM44" s="681"/>
      <c r="AO44" s="679" t="s">
        <v>761</v>
      </c>
      <c r="AP44" s="680">
        <f>AP41*AP42</f>
        <v>0</v>
      </c>
      <c r="AQ44" s="681"/>
      <c r="AR44" s="681"/>
    </row>
    <row r="45" spans="1:44" ht="16" thickBot="1">
      <c r="A45" s="679" t="s">
        <v>762</v>
      </c>
      <c r="B45" s="680">
        <f>B44*B43</f>
        <v>960000</v>
      </c>
      <c r="C45" s="681"/>
      <c r="D45" s="681"/>
      <c r="E45" s="668"/>
      <c r="F45" s="679" t="s">
        <v>762</v>
      </c>
      <c r="G45" s="680">
        <f>G44*G43</f>
        <v>640000</v>
      </c>
      <c r="H45" s="681"/>
      <c r="I45" s="681"/>
      <c r="J45" s="668"/>
      <c r="K45" s="679" t="s">
        <v>762</v>
      </c>
      <c r="L45" s="680">
        <f>L44*L43</f>
        <v>640000</v>
      </c>
      <c r="M45" s="681"/>
      <c r="N45" s="681"/>
      <c r="O45" s="668"/>
      <c r="P45" s="679" t="s">
        <v>762</v>
      </c>
      <c r="Q45" s="680">
        <f>Q44*Q43</f>
        <v>640000</v>
      </c>
      <c r="R45" s="681"/>
      <c r="S45" s="681"/>
      <c r="U45" s="679" t="s">
        <v>762</v>
      </c>
      <c r="V45" s="680">
        <f>V44*V43</f>
        <v>0</v>
      </c>
      <c r="W45" s="681"/>
      <c r="X45" s="681"/>
      <c r="Z45" s="679" t="s">
        <v>762</v>
      </c>
      <c r="AA45" s="680">
        <f>AA44*AA43</f>
        <v>0</v>
      </c>
      <c r="AB45" s="681"/>
      <c r="AC45" s="681"/>
      <c r="AE45" s="679" t="s">
        <v>762</v>
      </c>
      <c r="AF45" s="680">
        <f>AF44*AF43</f>
        <v>0</v>
      </c>
      <c r="AG45" s="681"/>
      <c r="AH45" s="681"/>
      <c r="AJ45" s="679" t="s">
        <v>762</v>
      </c>
      <c r="AK45" s="680">
        <f>AK44*AK43</f>
        <v>0</v>
      </c>
      <c r="AL45" s="681"/>
      <c r="AM45" s="681"/>
      <c r="AO45" s="679" t="s">
        <v>762</v>
      </c>
      <c r="AP45" s="680">
        <f>AP44*AP43</f>
        <v>0</v>
      </c>
      <c r="AQ45" s="681"/>
      <c r="AR45" s="681"/>
    </row>
    <row r="46" spans="1:44" ht="16" thickBot="1">
      <c r="A46" s="679" t="s">
        <v>763</v>
      </c>
      <c r="B46" s="688">
        <f>C50/B45</f>
        <v>0.39046874999999998</v>
      </c>
      <c r="C46" s="681"/>
      <c r="D46" s="689"/>
      <c r="E46" s="668"/>
      <c r="F46" s="679" t="s">
        <v>763</v>
      </c>
      <c r="G46" s="688">
        <f>H50/G45</f>
        <v>0.39046874999999998</v>
      </c>
      <c r="H46" s="681"/>
      <c r="I46" s="689"/>
      <c r="J46" s="668"/>
      <c r="K46" s="679" t="s">
        <v>763</v>
      </c>
      <c r="L46" s="688">
        <f>M50/L45</f>
        <v>0.39046874999999998</v>
      </c>
      <c r="M46" s="681"/>
      <c r="N46" s="689"/>
      <c r="O46" s="668"/>
      <c r="P46" s="679" t="s">
        <v>763</v>
      </c>
      <c r="Q46" s="688">
        <f>R50/Q45</f>
        <v>0.39046874999999998</v>
      </c>
      <c r="R46" s="681"/>
      <c r="S46" s="689"/>
      <c r="U46" s="679" t="s">
        <v>763</v>
      </c>
      <c r="V46" s="688" t="e">
        <f>W50/V45</f>
        <v>#DIV/0!</v>
      </c>
      <c r="W46" s="681"/>
      <c r="X46" s="689"/>
      <c r="Z46" s="679" t="s">
        <v>763</v>
      </c>
      <c r="AA46" s="688" t="e">
        <f>AB50/AA45</f>
        <v>#DIV/0!</v>
      </c>
      <c r="AB46" s="681"/>
      <c r="AC46" s="689"/>
      <c r="AE46" s="679" t="s">
        <v>763</v>
      </c>
      <c r="AF46" s="688" t="e">
        <f>AG50/AF45</f>
        <v>#DIV/0!</v>
      </c>
      <c r="AG46" s="681"/>
      <c r="AH46" s="689"/>
      <c r="AJ46" s="679" t="s">
        <v>763</v>
      </c>
      <c r="AK46" s="688" t="e">
        <f>AL50/AK45</f>
        <v>#DIV/0!</v>
      </c>
      <c r="AL46" s="681"/>
      <c r="AM46" s="689"/>
      <c r="AO46" s="679" t="s">
        <v>763</v>
      </c>
      <c r="AP46" s="688" t="e">
        <f>AQ50/AP45</f>
        <v>#DIV/0!</v>
      </c>
      <c r="AQ46" s="681"/>
      <c r="AR46" s="689"/>
    </row>
    <row r="47" spans="1:44" ht="16" thickBot="1">
      <c r="A47" s="690"/>
      <c r="B47" s="691" t="s">
        <v>250</v>
      </c>
      <c r="C47" s="691" t="s">
        <v>764</v>
      </c>
      <c r="D47" s="691" t="s">
        <v>18</v>
      </c>
      <c r="E47" s="668"/>
      <c r="F47" s="690"/>
      <c r="G47" s="691" t="s">
        <v>250</v>
      </c>
      <c r="H47" s="691" t="s">
        <v>764</v>
      </c>
      <c r="I47" s="691" t="s">
        <v>18</v>
      </c>
      <c r="J47" s="668"/>
      <c r="K47" s="690"/>
      <c r="L47" s="691" t="s">
        <v>250</v>
      </c>
      <c r="M47" s="691" t="s">
        <v>764</v>
      </c>
      <c r="N47" s="691" t="s">
        <v>18</v>
      </c>
      <c r="O47" s="668"/>
      <c r="P47" s="690"/>
      <c r="Q47" s="691" t="s">
        <v>250</v>
      </c>
      <c r="R47" s="691" t="s">
        <v>764</v>
      </c>
      <c r="S47" s="691" t="s">
        <v>18</v>
      </c>
      <c r="U47" s="690"/>
      <c r="V47" s="691" t="s">
        <v>250</v>
      </c>
      <c r="W47" s="691" t="s">
        <v>764</v>
      </c>
      <c r="X47" s="691" t="s">
        <v>18</v>
      </c>
      <c r="Z47" s="690"/>
      <c r="AA47" s="691" t="s">
        <v>250</v>
      </c>
      <c r="AB47" s="691" t="s">
        <v>764</v>
      </c>
      <c r="AC47" s="691" t="s">
        <v>18</v>
      </c>
      <c r="AE47" s="690"/>
      <c r="AF47" s="691" t="s">
        <v>250</v>
      </c>
      <c r="AG47" s="691" t="s">
        <v>764</v>
      </c>
      <c r="AH47" s="691" t="s">
        <v>18</v>
      </c>
      <c r="AJ47" s="690"/>
      <c r="AK47" s="691" t="s">
        <v>250</v>
      </c>
      <c r="AL47" s="691" t="s">
        <v>764</v>
      </c>
      <c r="AM47" s="691" t="s">
        <v>18</v>
      </c>
      <c r="AO47" s="690"/>
      <c r="AP47" s="691" t="s">
        <v>250</v>
      </c>
      <c r="AQ47" s="691" t="s">
        <v>764</v>
      </c>
      <c r="AR47" s="691" t="s">
        <v>18</v>
      </c>
    </row>
    <row r="48" spans="1:44" ht="16" thickBot="1">
      <c r="A48" s="692" t="s">
        <v>765</v>
      </c>
      <c r="B48" s="693">
        <f>ROUND(C48*$B$89,2)</f>
        <v>6.25</v>
      </c>
      <c r="C48" s="694">
        <f>ROUND(D48*'Tatsunoko Inputs'!$G$11,2)</f>
        <v>12.5</v>
      </c>
      <c r="D48" s="694">
        <f>C37</f>
        <v>24.99</v>
      </c>
      <c r="E48" s="668"/>
      <c r="F48" s="692" t="s">
        <v>765</v>
      </c>
      <c r="G48" s="693">
        <f>ROUND(H48*$B$89,2)</f>
        <v>6.25</v>
      </c>
      <c r="H48" s="694">
        <f>ROUND(I48*'Tatsunoko Inputs'!$G$11,2)</f>
        <v>12.5</v>
      </c>
      <c r="I48" s="694">
        <f>H37</f>
        <v>24.99</v>
      </c>
      <c r="J48" s="668"/>
      <c r="K48" s="692" t="s">
        <v>765</v>
      </c>
      <c r="L48" s="693">
        <f>ROUND(M48*$B$89,2)</f>
        <v>6.25</v>
      </c>
      <c r="M48" s="694">
        <f>ROUND(N48*'Tatsunoko Inputs'!$G$11,2)</f>
        <v>12.5</v>
      </c>
      <c r="N48" s="694">
        <f>M37</f>
        <v>24.99</v>
      </c>
      <c r="O48" s="668"/>
      <c r="P48" s="692" t="s">
        <v>765</v>
      </c>
      <c r="Q48" s="693">
        <f>ROUND(R48*$B$89,2)</f>
        <v>6.25</v>
      </c>
      <c r="R48" s="694">
        <f>ROUND(S48*'Tatsunoko Inputs'!$G$11,2)</f>
        <v>12.5</v>
      </c>
      <c r="S48" s="694">
        <f>R37</f>
        <v>24.99</v>
      </c>
      <c r="U48" s="692" t="s">
        <v>765</v>
      </c>
      <c r="V48" s="693">
        <f>ROUND(W48*$B$89,2)</f>
        <v>0</v>
      </c>
      <c r="W48" s="694">
        <f>ROUND(X48*'Tatsunoko Inputs'!$G$11,2)</f>
        <v>0</v>
      </c>
      <c r="X48" s="694">
        <f>W37</f>
        <v>0</v>
      </c>
      <c r="Z48" s="692" t="s">
        <v>765</v>
      </c>
      <c r="AA48" s="693">
        <f>ROUND(AB48*$B$89,2)</f>
        <v>0</v>
      </c>
      <c r="AB48" s="694">
        <f>ROUND(AC48*'Tatsunoko Inputs'!$G$11,2)</f>
        <v>0</v>
      </c>
      <c r="AC48" s="694">
        <f>AB37</f>
        <v>0</v>
      </c>
      <c r="AE48" s="692" t="s">
        <v>765</v>
      </c>
      <c r="AF48" s="693">
        <f>ROUND(AG48*$B$89,2)</f>
        <v>0</v>
      </c>
      <c r="AG48" s="694">
        <f>ROUND(AH48*'Tatsunoko Inputs'!$G$11,2)</f>
        <v>0</v>
      </c>
      <c r="AH48" s="694">
        <f>AG37</f>
        <v>0</v>
      </c>
      <c r="AJ48" s="692" t="s">
        <v>765</v>
      </c>
      <c r="AK48" s="693">
        <f>ROUND(AL48*$B$89,2)</f>
        <v>0</v>
      </c>
      <c r="AL48" s="694">
        <f>ROUND(AM48*'Tatsunoko Inputs'!$G$11,2)</f>
        <v>0</v>
      </c>
      <c r="AM48" s="694">
        <f>AL37</f>
        <v>0</v>
      </c>
      <c r="AO48" s="692" t="s">
        <v>765</v>
      </c>
      <c r="AP48" s="693">
        <f>ROUND(AQ48*$B$89,2)</f>
        <v>0</v>
      </c>
      <c r="AQ48" s="694">
        <f>ROUND(AR48*'Tatsunoko Inputs'!$G$11,2)</f>
        <v>0</v>
      </c>
      <c r="AR48" s="694">
        <f>AQ37</f>
        <v>0</v>
      </c>
    </row>
    <row r="49" spans="1:44" ht="16" thickBot="1">
      <c r="A49" s="692" t="s">
        <v>766</v>
      </c>
      <c r="B49" s="693">
        <f>ROUND(C49*$B$89,2)</f>
        <v>249.9</v>
      </c>
      <c r="C49" s="695">
        <f>ROUND(D49*'Tatsunoko Inputs'!$G$11,2)</f>
        <v>499.8</v>
      </c>
      <c r="D49" s="695">
        <f>ROUND(D48*B40,2)</f>
        <v>999.6</v>
      </c>
      <c r="E49" s="668"/>
      <c r="F49" s="692" t="s">
        <v>766</v>
      </c>
      <c r="G49" s="693">
        <f>ROUND(H49*$B$89,2)</f>
        <v>249.9</v>
      </c>
      <c r="H49" s="695">
        <f>ROUND(I49*'Tatsunoko Inputs'!$G$11,2)</f>
        <v>499.8</v>
      </c>
      <c r="I49" s="695">
        <f>ROUND(I48*G40,2)</f>
        <v>999.6</v>
      </c>
      <c r="J49" s="668"/>
      <c r="K49" s="692" t="s">
        <v>766</v>
      </c>
      <c r="L49" s="693">
        <f>ROUND(M49*$B$89,2)</f>
        <v>249.9</v>
      </c>
      <c r="M49" s="695">
        <f>ROUND(N49*'Tatsunoko Inputs'!$G$11,2)</f>
        <v>499.8</v>
      </c>
      <c r="N49" s="695">
        <f>ROUND(N48*L40,2)</f>
        <v>999.6</v>
      </c>
      <c r="O49" s="668"/>
      <c r="P49" s="692" t="s">
        <v>766</v>
      </c>
      <c r="Q49" s="693">
        <f>ROUND(R49*$B$89,2)</f>
        <v>249.9</v>
      </c>
      <c r="R49" s="695">
        <f>ROUND(S49*'Tatsunoko Inputs'!$G$11,2)</f>
        <v>499.8</v>
      </c>
      <c r="S49" s="695">
        <f>ROUND(S48*Q40,2)</f>
        <v>999.6</v>
      </c>
      <c r="U49" s="692" t="s">
        <v>766</v>
      </c>
      <c r="V49" s="693">
        <f>ROUND(W49*$B$89,2)</f>
        <v>0</v>
      </c>
      <c r="W49" s="695">
        <f>ROUND(X49*'Tatsunoko Inputs'!$G$11,2)</f>
        <v>0</v>
      </c>
      <c r="X49" s="695">
        <f>ROUND(X48*V40,2)</f>
        <v>0</v>
      </c>
      <c r="Z49" s="692" t="s">
        <v>766</v>
      </c>
      <c r="AA49" s="693">
        <f>ROUND(AB49*$B$89,2)</f>
        <v>0</v>
      </c>
      <c r="AB49" s="695">
        <f>ROUND(AC49*'Tatsunoko Inputs'!$G$11,2)</f>
        <v>0</v>
      </c>
      <c r="AC49" s="695">
        <f>ROUND(AC48*AA40,2)</f>
        <v>0</v>
      </c>
      <c r="AE49" s="692" t="s">
        <v>766</v>
      </c>
      <c r="AF49" s="693">
        <f>ROUND(AG49*$B$89,2)</f>
        <v>0</v>
      </c>
      <c r="AG49" s="695">
        <f>ROUND(AH49*'Tatsunoko Inputs'!$G$11,2)</f>
        <v>0</v>
      </c>
      <c r="AH49" s="695">
        <f>ROUND(AH48*AF40,2)</f>
        <v>0</v>
      </c>
      <c r="AJ49" s="692" t="s">
        <v>766</v>
      </c>
      <c r="AK49" s="693">
        <f>ROUND(AL49*$B$89,2)</f>
        <v>0</v>
      </c>
      <c r="AL49" s="695">
        <f>ROUND(AM49*'Tatsunoko Inputs'!$G$11,2)</f>
        <v>0</v>
      </c>
      <c r="AM49" s="695">
        <f>ROUND(AM48*AK40,2)</f>
        <v>0</v>
      </c>
      <c r="AO49" s="692" t="s">
        <v>766</v>
      </c>
      <c r="AP49" s="693">
        <f>ROUND(AQ49*$B$89,2)</f>
        <v>0</v>
      </c>
      <c r="AQ49" s="695">
        <f>ROUND(AR49*'Tatsunoko Inputs'!$G$11,2)</f>
        <v>0</v>
      </c>
      <c r="AR49" s="695">
        <f>ROUND(AR48*AP40,2)</f>
        <v>0</v>
      </c>
    </row>
    <row r="50" spans="1:44" ht="16" thickBot="1">
      <c r="A50" s="692" t="s">
        <v>767</v>
      </c>
      <c r="B50" s="693">
        <f>ROUND(B49*$B39,2)</f>
        <v>187425</v>
      </c>
      <c r="C50" s="695">
        <f>ROUND(C49*B39,2)</f>
        <v>374850</v>
      </c>
      <c r="D50" s="695">
        <f>ROUND(D49*B39,2)</f>
        <v>749700</v>
      </c>
      <c r="E50" s="668"/>
      <c r="F50" s="692" t="s">
        <v>767</v>
      </c>
      <c r="G50" s="693">
        <f>ROUND(G49*$B39,2)</f>
        <v>187425</v>
      </c>
      <c r="H50" s="695">
        <f>ROUND(H49*G39,2)</f>
        <v>249900</v>
      </c>
      <c r="I50" s="695">
        <f>ROUND(I49*G39,2)</f>
        <v>499800</v>
      </c>
      <c r="J50" s="668"/>
      <c r="K50" s="692" t="s">
        <v>767</v>
      </c>
      <c r="L50" s="693">
        <f>ROUND(L49*$B39,2)</f>
        <v>187425</v>
      </c>
      <c r="M50" s="695">
        <f>ROUND(M49*L39,2)</f>
        <v>249900</v>
      </c>
      <c r="N50" s="695">
        <f>ROUND(N49*L39,2)</f>
        <v>499800</v>
      </c>
      <c r="O50" s="668"/>
      <c r="P50" s="692" t="s">
        <v>767</v>
      </c>
      <c r="Q50" s="693">
        <f>ROUND(Q49*$B39,2)</f>
        <v>187425</v>
      </c>
      <c r="R50" s="695">
        <f>ROUND(R49*Q39,2)</f>
        <v>249900</v>
      </c>
      <c r="S50" s="695">
        <f>ROUND(S49*Q39,2)</f>
        <v>499800</v>
      </c>
      <c r="U50" s="692" t="s">
        <v>767</v>
      </c>
      <c r="V50" s="693">
        <f>ROUND(V49*$B39,2)</f>
        <v>0</v>
      </c>
      <c r="W50" s="695">
        <f>ROUND(W49*V39,2)</f>
        <v>0</v>
      </c>
      <c r="X50" s="695">
        <f>ROUND(X49*V39,2)</f>
        <v>0</v>
      </c>
      <c r="Z50" s="692" t="s">
        <v>767</v>
      </c>
      <c r="AA50" s="693">
        <f>ROUND(AA49*$B39,2)</f>
        <v>0</v>
      </c>
      <c r="AB50" s="695">
        <f>ROUND(AB49*AA39,2)</f>
        <v>0</v>
      </c>
      <c r="AC50" s="695">
        <f>ROUND(AC49*AA39,2)</f>
        <v>0</v>
      </c>
      <c r="AE50" s="692" t="s">
        <v>767</v>
      </c>
      <c r="AF50" s="693">
        <f>ROUND(AF49*$B39,2)</f>
        <v>0</v>
      </c>
      <c r="AG50" s="695">
        <f>ROUND(AG49*AF39,2)</f>
        <v>0</v>
      </c>
      <c r="AH50" s="695">
        <f>ROUND(AH49*AF39,2)</f>
        <v>0</v>
      </c>
      <c r="AJ50" s="692" t="s">
        <v>767</v>
      </c>
      <c r="AK50" s="693">
        <f>ROUND(AK49*$B39,2)</f>
        <v>0</v>
      </c>
      <c r="AL50" s="695">
        <f>ROUND(AL49*AK39,2)</f>
        <v>0</v>
      </c>
      <c r="AM50" s="695">
        <f>ROUND(AM49*AK39,2)</f>
        <v>0</v>
      </c>
      <c r="AO50" s="692" t="s">
        <v>767</v>
      </c>
      <c r="AP50" s="693">
        <f>ROUND(AP49*$B39,2)</f>
        <v>0</v>
      </c>
      <c r="AQ50" s="695">
        <f>ROUND(AQ49*AP39,2)</f>
        <v>0</v>
      </c>
      <c r="AR50" s="695">
        <f>ROUND(AR49*AP39,2)</f>
        <v>0</v>
      </c>
    </row>
    <row r="51" spans="1:44" ht="16" thickBot="1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8"/>
      <c r="P51" s="668"/>
      <c r="Q51" s="668"/>
      <c r="R51" s="668"/>
      <c r="S51" s="668"/>
      <c r="U51" s="668"/>
      <c r="V51" s="668"/>
      <c r="W51" s="668"/>
      <c r="X51" s="668"/>
      <c r="Z51" s="668"/>
      <c r="AA51" s="668"/>
      <c r="AB51" s="668"/>
      <c r="AC51" s="668"/>
      <c r="AE51" s="668"/>
      <c r="AF51" s="668"/>
      <c r="AG51" s="668"/>
      <c r="AH51" s="668"/>
      <c r="AJ51" s="668"/>
      <c r="AK51" s="668"/>
      <c r="AL51" s="668"/>
      <c r="AM51" s="668"/>
      <c r="AO51" s="668"/>
      <c r="AP51" s="668"/>
      <c r="AQ51" s="668"/>
      <c r="AR51" s="668"/>
    </row>
    <row r="52" spans="1:44" ht="16" thickBot="1">
      <c r="A52" s="668"/>
      <c r="B52" s="668"/>
      <c r="C52" s="674" t="s">
        <v>754</v>
      </c>
      <c r="D52" s="675" t="s">
        <v>755</v>
      </c>
      <c r="E52" s="668"/>
      <c r="F52" s="668"/>
      <c r="G52" s="668"/>
      <c r="H52" s="674" t="s">
        <v>754</v>
      </c>
      <c r="I52" s="675" t="s">
        <v>755</v>
      </c>
      <c r="J52" s="668"/>
      <c r="K52" s="668"/>
      <c r="L52" s="668"/>
      <c r="M52" s="674" t="s">
        <v>754</v>
      </c>
      <c r="N52" s="675" t="s">
        <v>755</v>
      </c>
      <c r="O52" s="668"/>
      <c r="P52" s="668"/>
      <c r="Q52" s="668"/>
      <c r="R52" s="674" t="s">
        <v>754</v>
      </c>
      <c r="S52" s="675" t="s">
        <v>755</v>
      </c>
      <c r="U52" s="668"/>
      <c r="V52" s="668"/>
      <c r="W52" s="674" t="s">
        <v>754</v>
      </c>
      <c r="X52" s="675" t="s">
        <v>755</v>
      </c>
      <c r="Z52" s="668"/>
      <c r="AA52" s="668"/>
      <c r="AB52" s="674" t="s">
        <v>754</v>
      </c>
      <c r="AC52" s="675" t="s">
        <v>755</v>
      </c>
      <c r="AE52" s="668"/>
      <c r="AF52" s="668"/>
      <c r="AG52" s="674" t="s">
        <v>754</v>
      </c>
      <c r="AH52" s="675" t="s">
        <v>755</v>
      </c>
      <c r="AJ52" s="668"/>
      <c r="AK52" s="668"/>
      <c r="AL52" s="674" t="s">
        <v>754</v>
      </c>
      <c r="AM52" s="675" t="s">
        <v>755</v>
      </c>
      <c r="AO52" s="668"/>
      <c r="AP52" s="668"/>
      <c r="AQ52" s="674" t="s">
        <v>754</v>
      </c>
      <c r="AR52" s="675" t="s">
        <v>755</v>
      </c>
    </row>
    <row r="53" spans="1:44" s="677" customFormat="1" ht="16">
      <c r="A53" s="676" t="s">
        <v>770</v>
      </c>
      <c r="B53" s="1172" t="s">
        <v>18</v>
      </c>
      <c r="C53" s="1176">
        <f>'Tatsunoko Inputs'!E26</f>
        <v>0</v>
      </c>
      <c r="D53" s="1178">
        <f>C53*B56</f>
        <v>0</v>
      </c>
      <c r="E53" s="1179"/>
      <c r="F53" s="676" t="s">
        <v>770</v>
      </c>
      <c r="G53" s="1172" t="s">
        <v>18</v>
      </c>
      <c r="H53" s="1176">
        <f>'Tatsunoko Inputs'!E39</f>
        <v>0</v>
      </c>
      <c r="I53" s="1178">
        <f>H53*G56</f>
        <v>0</v>
      </c>
      <c r="J53" s="1179"/>
      <c r="K53" s="676" t="s">
        <v>770</v>
      </c>
      <c r="L53" s="1172" t="s">
        <v>18</v>
      </c>
      <c r="M53" s="1176">
        <f>'Tatsunoko Inputs'!E52</f>
        <v>0</v>
      </c>
      <c r="N53" s="1178">
        <f>M53*L56</f>
        <v>0</v>
      </c>
      <c r="O53" s="1180"/>
      <c r="P53" s="676" t="s">
        <v>770</v>
      </c>
      <c r="Q53" s="1172" t="s">
        <v>18</v>
      </c>
      <c r="R53" s="1176">
        <f>'Tatsunoko Inputs'!E65</f>
        <v>0</v>
      </c>
      <c r="S53" s="1178">
        <f>R53*Q56</f>
        <v>0</v>
      </c>
      <c r="U53" s="676" t="s">
        <v>770</v>
      </c>
      <c r="V53" s="1172" t="s">
        <v>18</v>
      </c>
      <c r="W53" s="1176">
        <f>'Tatsunoko Inputs'!E78</f>
        <v>0</v>
      </c>
      <c r="X53" s="1178">
        <f>W53*V56</f>
        <v>0</v>
      </c>
      <c r="Z53" s="676" t="s">
        <v>770</v>
      </c>
      <c r="AA53" s="1172" t="s">
        <v>18</v>
      </c>
      <c r="AB53" s="1176">
        <f>'Tatsunoko Inputs'!E91</f>
        <v>0</v>
      </c>
      <c r="AC53" s="1178">
        <f>AB53*AA56</f>
        <v>0</v>
      </c>
      <c r="AE53" s="676" t="s">
        <v>770</v>
      </c>
      <c r="AF53" s="1172" t="s">
        <v>18</v>
      </c>
      <c r="AG53" s="1176">
        <f>'Tatsunoko Inputs'!E104</f>
        <v>0</v>
      </c>
      <c r="AH53" s="1178">
        <f>AG53*AF56</f>
        <v>0</v>
      </c>
      <c r="AJ53" s="676" t="s">
        <v>770</v>
      </c>
      <c r="AK53" s="1172" t="s">
        <v>18</v>
      </c>
      <c r="AL53" s="1176">
        <f>'Tatsunoko Inputs'!E117</f>
        <v>0</v>
      </c>
      <c r="AM53" s="1178">
        <f>AL53*AK56</f>
        <v>0</v>
      </c>
      <c r="AO53" s="676" t="s">
        <v>770</v>
      </c>
      <c r="AP53" s="1172" t="s">
        <v>18</v>
      </c>
      <c r="AQ53" s="1176">
        <f>'Tatsunoko Inputs'!E130</f>
        <v>0</v>
      </c>
      <c r="AR53" s="1178">
        <f>AQ53*AP56</f>
        <v>0</v>
      </c>
    </row>
    <row r="54" spans="1:44" s="677" customFormat="1" ht="16" thickBot="1">
      <c r="A54" s="678" t="s">
        <v>771</v>
      </c>
      <c r="B54" s="1173"/>
      <c r="C54" s="1177"/>
      <c r="D54" s="1175"/>
      <c r="E54" s="1179"/>
      <c r="F54" s="678" t="s">
        <v>771</v>
      </c>
      <c r="G54" s="1173"/>
      <c r="H54" s="1177"/>
      <c r="I54" s="1175"/>
      <c r="J54" s="1179"/>
      <c r="K54" s="678" t="s">
        <v>771</v>
      </c>
      <c r="L54" s="1173"/>
      <c r="M54" s="1177"/>
      <c r="N54" s="1175"/>
      <c r="O54" s="1180"/>
      <c r="P54" s="678" t="s">
        <v>771</v>
      </c>
      <c r="Q54" s="1173"/>
      <c r="R54" s="1177"/>
      <c r="S54" s="1175"/>
      <c r="U54" s="678" t="s">
        <v>771</v>
      </c>
      <c r="V54" s="1173"/>
      <c r="W54" s="1177"/>
      <c r="X54" s="1175"/>
      <c r="Z54" s="678" t="s">
        <v>771</v>
      </c>
      <c r="AA54" s="1173"/>
      <c r="AB54" s="1177"/>
      <c r="AC54" s="1175"/>
      <c r="AE54" s="678" t="s">
        <v>771</v>
      </c>
      <c r="AF54" s="1173"/>
      <c r="AG54" s="1177"/>
      <c r="AH54" s="1175"/>
      <c r="AJ54" s="678" t="s">
        <v>771</v>
      </c>
      <c r="AK54" s="1173"/>
      <c r="AL54" s="1177"/>
      <c r="AM54" s="1175"/>
      <c r="AO54" s="678" t="s">
        <v>771</v>
      </c>
      <c r="AP54" s="1173"/>
      <c r="AQ54" s="1177"/>
      <c r="AR54" s="1175"/>
    </row>
    <row r="55" spans="1:44" ht="16" thickBot="1">
      <c r="A55" s="679" t="s">
        <v>758</v>
      </c>
      <c r="B55" s="681">
        <f>'Tatsunoko Inputs'!G26</f>
        <v>0</v>
      </c>
      <c r="C55" s="681"/>
      <c r="D55" s="681"/>
      <c r="E55" s="668"/>
      <c r="F55" s="679" t="s">
        <v>758</v>
      </c>
      <c r="G55" s="681">
        <f>'Tatsunoko Inputs'!G39</f>
        <v>0</v>
      </c>
      <c r="H55" s="681"/>
      <c r="I55" s="681"/>
      <c r="J55" s="668"/>
      <c r="K55" s="679" t="s">
        <v>758</v>
      </c>
      <c r="L55" s="681">
        <f>'Tatsunoko Inputs'!G52</f>
        <v>0</v>
      </c>
      <c r="M55" s="681"/>
      <c r="N55" s="681"/>
      <c r="O55" s="668"/>
      <c r="P55" s="679" t="s">
        <v>758</v>
      </c>
      <c r="Q55" s="681">
        <f>'Tatsunoko Inputs'!G65</f>
        <v>0</v>
      </c>
      <c r="R55" s="681"/>
      <c r="S55" s="681"/>
      <c r="U55" s="679" t="s">
        <v>758</v>
      </c>
      <c r="V55" s="681">
        <f>'Tatsunoko Inputs'!G78</f>
        <v>0</v>
      </c>
      <c r="W55" s="681"/>
      <c r="X55" s="681"/>
      <c r="Z55" s="679" t="s">
        <v>758</v>
      </c>
      <c r="AA55" s="681">
        <f>'Tatsunoko Inputs'!G91</f>
        <v>0</v>
      </c>
      <c r="AB55" s="681"/>
      <c r="AC55" s="681"/>
      <c r="AE55" s="679" t="s">
        <v>758</v>
      </c>
      <c r="AF55" s="681">
        <f>'Tatsunoko Inputs'!G104</f>
        <v>0</v>
      </c>
      <c r="AG55" s="681"/>
      <c r="AH55" s="681"/>
      <c r="AJ55" s="679" t="s">
        <v>758</v>
      </c>
      <c r="AK55" s="681">
        <f>'Tatsunoko Inputs'!G117</f>
        <v>0</v>
      </c>
      <c r="AL55" s="681"/>
      <c r="AM55" s="681"/>
      <c r="AO55" s="679" t="s">
        <v>758</v>
      </c>
      <c r="AP55" s="681">
        <f>'Tatsunoko Inputs'!G130</f>
        <v>0</v>
      </c>
      <c r="AQ55" s="681"/>
      <c r="AR55" s="681"/>
    </row>
    <row r="56" spans="1:44" ht="17" thickBot="1">
      <c r="A56" s="682" t="s">
        <v>188</v>
      </c>
      <c r="B56" s="681">
        <f>'Tatsunoko Inputs'!I26</f>
        <v>0</v>
      </c>
      <c r="C56" s="681"/>
      <c r="D56" s="683"/>
      <c r="E56" s="668"/>
      <c r="F56" s="682" t="s">
        <v>188</v>
      </c>
      <c r="G56" s="681">
        <f>'Tatsunoko Inputs'!I39</f>
        <v>0</v>
      </c>
      <c r="H56" s="681"/>
      <c r="I56" s="683"/>
      <c r="J56" s="668"/>
      <c r="K56" s="682" t="s">
        <v>188</v>
      </c>
      <c r="L56" s="681">
        <f>'Tatsunoko Inputs'!I52</f>
        <v>0</v>
      </c>
      <c r="M56" s="681"/>
      <c r="N56" s="683"/>
      <c r="O56" s="668"/>
      <c r="P56" s="682" t="s">
        <v>188</v>
      </c>
      <c r="Q56" s="681">
        <f>'Tatsunoko Inputs'!I65</f>
        <v>0</v>
      </c>
      <c r="R56" s="681"/>
      <c r="S56" s="683"/>
      <c r="U56" s="682" t="s">
        <v>188</v>
      </c>
      <c r="V56" s="681">
        <f>'Tatsunoko Inputs'!I78</f>
        <v>0</v>
      </c>
      <c r="W56" s="681"/>
      <c r="X56" s="683"/>
      <c r="Z56" s="682" t="s">
        <v>188</v>
      </c>
      <c r="AA56" s="681">
        <f>'Tatsunoko Inputs'!I91</f>
        <v>0</v>
      </c>
      <c r="AB56" s="681"/>
      <c r="AC56" s="683"/>
      <c r="AE56" s="682" t="s">
        <v>188</v>
      </c>
      <c r="AF56" s="681">
        <f>'Tatsunoko Inputs'!I104</f>
        <v>0</v>
      </c>
      <c r="AG56" s="681"/>
      <c r="AH56" s="683"/>
      <c r="AJ56" s="682" t="s">
        <v>188</v>
      </c>
      <c r="AK56" s="681">
        <f>'Tatsunoko Inputs'!I117</f>
        <v>0</v>
      </c>
      <c r="AL56" s="681"/>
      <c r="AM56" s="683"/>
      <c r="AO56" s="682" t="s">
        <v>188</v>
      </c>
      <c r="AP56" s="681">
        <f>'Tatsunoko Inputs'!I130</f>
        <v>0</v>
      </c>
      <c r="AQ56" s="681"/>
      <c r="AR56" s="683"/>
    </row>
    <row r="57" spans="1:44" ht="16" thickBot="1">
      <c r="A57" s="679" t="s">
        <v>759</v>
      </c>
      <c r="B57" s="680">
        <f>B55*B56</f>
        <v>0</v>
      </c>
      <c r="C57" s="684"/>
      <c r="D57" s="685"/>
      <c r="E57" s="668"/>
      <c r="F57" s="679" t="s">
        <v>759</v>
      </c>
      <c r="G57" s="680">
        <f>G55*G56</f>
        <v>0</v>
      </c>
      <c r="H57" s="684"/>
      <c r="I57" s="685"/>
      <c r="J57" s="668"/>
      <c r="K57" s="679" t="s">
        <v>759</v>
      </c>
      <c r="L57" s="680">
        <f>L55*L56</f>
        <v>0</v>
      </c>
      <c r="M57" s="684"/>
      <c r="N57" s="685"/>
      <c r="O57" s="668"/>
      <c r="P57" s="679" t="s">
        <v>759</v>
      </c>
      <c r="Q57" s="680">
        <f>Q55*Q56</f>
        <v>0</v>
      </c>
      <c r="R57" s="684"/>
      <c r="S57" s="685"/>
      <c r="U57" s="679" t="s">
        <v>759</v>
      </c>
      <c r="V57" s="680">
        <f>V55*V56</f>
        <v>0</v>
      </c>
      <c r="W57" s="684"/>
      <c r="X57" s="685"/>
      <c r="Z57" s="679" t="s">
        <v>759</v>
      </c>
      <c r="AA57" s="680">
        <f>AA55*AA56</f>
        <v>0</v>
      </c>
      <c r="AB57" s="684"/>
      <c r="AC57" s="685"/>
      <c r="AE57" s="679" t="s">
        <v>759</v>
      </c>
      <c r="AF57" s="680">
        <f>AF55*AF56</f>
        <v>0</v>
      </c>
      <c r="AG57" s="684"/>
      <c r="AH57" s="685"/>
      <c r="AJ57" s="679" t="s">
        <v>759</v>
      </c>
      <c r="AK57" s="680">
        <f>AK55*AK56</f>
        <v>0</v>
      </c>
      <c r="AL57" s="684"/>
      <c r="AM57" s="685"/>
      <c r="AO57" s="679" t="s">
        <v>759</v>
      </c>
      <c r="AP57" s="680">
        <f>AP55*AP56</f>
        <v>0</v>
      </c>
      <c r="AQ57" s="684"/>
      <c r="AR57" s="685"/>
    </row>
    <row r="58" spans="1:44" ht="16" thickBot="1">
      <c r="A58" s="679" t="s">
        <v>192</v>
      </c>
      <c r="B58" s="681">
        <f>'Tatsunoko Inputs'!K26</f>
        <v>0</v>
      </c>
      <c r="C58" s="684"/>
      <c r="D58" s="686"/>
      <c r="E58" s="668"/>
      <c r="F58" s="679" t="s">
        <v>192</v>
      </c>
      <c r="G58" s="681">
        <f>'Tatsunoko Inputs'!K39</f>
        <v>0</v>
      </c>
      <c r="H58" s="684"/>
      <c r="I58" s="686"/>
      <c r="J58" s="668"/>
      <c r="K58" s="679" t="s">
        <v>192</v>
      </c>
      <c r="L58" s="681">
        <f>'Tatsunoko Inputs'!K52</f>
        <v>0</v>
      </c>
      <c r="M58" s="684"/>
      <c r="N58" s="686"/>
      <c r="O58" s="668"/>
      <c r="P58" s="679" t="s">
        <v>192</v>
      </c>
      <c r="Q58" s="681">
        <f>'Tatsunoko Inputs'!K65</f>
        <v>0</v>
      </c>
      <c r="R58" s="684"/>
      <c r="S58" s="686"/>
      <c r="U58" s="679" t="s">
        <v>192</v>
      </c>
      <c r="V58" s="681">
        <f>'Tatsunoko Inputs'!K78</f>
        <v>0</v>
      </c>
      <c r="W58" s="684"/>
      <c r="X58" s="686"/>
      <c r="Z58" s="679" t="s">
        <v>192</v>
      </c>
      <c r="AA58" s="681">
        <f>'Tatsunoko Inputs'!K91</f>
        <v>0</v>
      </c>
      <c r="AB58" s="684"/>
      <c r="AC58" s="686"/>
      <c r="AE58" s="679" t="s">
        <v>192</v>
      </c>
      <c r="AF58" s="681">
        <f>'Tatsunoko Inputs'!K104</f>
        <v>0</v>
      </c>
      <c r="AG58" s="684"/>
      <c r="AH58" s="686"/>
      <c r="AJ58" s="679" t="s">
        <v>192</v>
      </c>
      <c r="AK58" s="681">
        <f>'Tatsunoko Inputs'!K117</f>
        <v>0</v>
      </c>
      <c r="AL58" s="684"/>
      <c r="AM58" s="686"/>
      <c r="AO58" s="679" t="s">
        <v>192</v>
      </c>
      <c r="AP58" s="681">
        <f>'Tatsunoko Inputs'!K130</f>
        <v>0</v>
      </c>
      <c r="AQ58" s="684"/>
      <c r="AR58" s="686"/>
    </row>
    <row r="59" spans="1:44" ht="16" thickBot="1">
      <c r="A59" s="687" t="s">
        <v>195</v>
      </c>
      <c r="B59" s="681">
        <f>'Tatsunoko Inputs'!M26</f>
        <v>0</v>
      </c>
      <c r="C59" s="681"/>
      <c r="D59" s="681"/>
      <c r="E59" s="668"/>
      <c r="F59" s="687" t="s">
        <v>195</v>
      </c>
      <c r="G59" s="681">
        <f>'Tatsunoko Inputs'!M39</f>
        <v>0</v>
      </c>
      <c r="H59" s="681"/>
      <c r="I59" s="681"/>
      <c r="J59" s="668"/>
      <c r="K59" s="687" t="s">
        <v>195</v>
      </c>
      <c r="L59" s="681">
        <f>'Tatsunoko Inputs'!M52</f>
        <v>0</v>
      </c>
      <c r="M59" s="681"/>
      <c r="N59" s="681"/>
      <c r="O59" s="668"/>
      <c r="P59" s="687" t="s">
        <v>195</v>
      </c>
      <c r="Q59" s="681">
        <f>'Tatsunoko Inputs'!M65</f>
        <v>0</v>
      </c>
      <c r="R59" s="681"/>
      <c r="S59" s="681"/>
      <c r="U59" s="687" t="s">
        <v>195</v>
      </c>
      <c r="V59" s="681">
        <f>'Tatsunoko Inputs'!M78</f>
        <v>0</v>
      </c>
      <c r="W59" s="681"/>
      <c r="X59" s="681"/>
      <c r="Z59" s="687" t="s">
        <v>195</v>
      </c>
      <c r="AA59" s="681">
        <f>'Tatsunoko Inputs'!M91</f>
        <v>0</v>
      </c>
      <c r="AB59" s="681"/>
      <c r="AC59" s="681"/>
      <c r="AE59" s="687" t="s">
        <v>195</v>
      </c>
      <c r="AF59" s="681">
        <f>'Tatsunoko Inputs'!M104</f>
        <v>0</v>
      </c>
      <c r="AG59" s="681"/>
      <c r="AH59" s="681"/>
      <c r="AJ59" s="687" t="s">
        <v>195</v>
      </c>
      <c r="AK59" s="681">
        <f>'Tatsunoko Inputs'!M117</f>
        <v>0</v>
      </c>
      <c r="AL59" s="681"/>
      <c r="AM59" s="681"/>
      <c r="AO59" s="687" t="s">
        <v>195</v>
      </c>
      <c r="AP59" s="681">
        <f>'Tatsunoko Inputs'!M130</f>
        <v>0</v>
      </c>
      <c r="AQ59" s="681"/>
      <c r="AR59" s="681"/>
    </row>
    <row r="60" spans="1:44" ht="16" thickBot="1">
      <c r="A60" s="679" t="s">
        <v>761</v>
      </c>
      <c r="B60" s="680">
        <f>B57*B58</f>
        <v>0</v>
      </c>
      <c r="C60" s="681"/>
      <c r="D60" s="681"/>
      <c r="E60" s="668"/>
      <c r="F60" s="679" t="s">
        <v>761</v>
      </c>
      <c r="G60" s="680">
        <f>G57*G58</f>
        <v>0</v>
      </c>
      <c r="H60" s="681"/>
      <c r="I60" s="681"/>
      <c r="J60" s="668"/>
      <c r="K60" s="679" t="s">
        <v>761</v>
      </c>
      <c r="L60" s="680">
        <f>L57*L58</f>
        <v>0</v>
      </c>
      <c r="M60" s="681"/>
      <c r="N60" s="681"/>
      <c r="O60" s="668"/>
      <c r="P60" s="679" t="s">
        <v>761</v>
      </c>
      <c r="Q60" s="680">
        <f>Q57*Q58</f>
        <v>0</v>
      </c>
      <c r="R60" s="681"/>
      <c r="S60" s="681"/>
      <c r="U60" s="679" t="s">
        <v>761</v>
      </c>
      <c r="V60" s="680">
        <f>V57*V58</f>
        <v>0</v>
      </c>
      <c r="W60" s="681"/>
      <c r="X60" s="681"/>
      <c r="Z60" s="679" t="s">
        <v>761</v>
      </c>
      <c r="AA60" s="680">
        <f>AA57*AA58</f>
        <v>0</v>
      </c>
      <c r="AB60" s="681"/>
      <c r="AC60" s="681"/>
      <c r="AE60" s="679" t="s">
        <v>761</v>
      </c>
      <c r="AF60" s="680">
        <f>AF57*AF58</f>
        <v>0</v>
      </c>
      <c r="AG60" s="681"/>
      <c r="AH60" s="681"/>
      <c r="AJ60" s="679" t="s">
        <v>761</v>
      </c>
      <c r="AK60" s="680">
        <f>AK57*AK58</f>
        <v>0</v>
      </c>
      <c r="AL60" s="681"/>
      <c r="AM60" s="681"/>
      <c r="AO60" s="679" t="s">
        <v>761</v>
      </c>
      <c r="AP60" s="680">
        <f>AP57*AP58</f>
        <v>0</v>
      </c>
      <c r="AQ60" s="681"/>
      <c r="AR60" s="681"/>
    </row>
    <row r="61" spans="1:44" ht="16" thickBot="1">
      <c r="A61" s="679" t="s">
        <v>762</v>
      </c>
      <c r="B61" s="680">
        <f>B60*B59</f>
        <v>0</v>
      </c>
      <c r="C61" s="681"/>
      <c r="D61" s="681"/>
      <c r="E61" s="668"/>
      <c r="F61" s="679" t="s">
        <v>762</v>
      </c>
      <c r="G61" s="680">
        <f>G60*G59</f>
        <v>0</v>
      </c>
      <c r="H61" s="681"/>
      <c r="I61" s="681"/>
      <c r="J61" s="668"/>
      <c r="K61" s="679" t="s">
        <v>762</v>
      </c>
      <c r="L61" s="680">
        <f>L60*L59</f>
        <v>0</v>
      </c>
      <c r="M61" s="681"/>
      <c r="N61" s="681"/>
      <c r="O61" s="668"/>
      <c r="P61" s="679" t="s">
        <v>762</v>
      </c>
      <c r="Q61" s="680">
        <f>Q60*Q59</f>
        <v>0</v>
      </c>
      <c r="R61" s="681"/>
      <c r="S61" s="681"/>
      <c r="U61" s="679" t="s">
        <v>762</v>
      </c>
      <c r="V61" s="680">
        <f>V60*V59</f>
        <v>0</v>
      </c>
      <c r="W61" s="681"/>
      <c r="X61" s="681"/>
      <c r="Z61" s="679" t="s">
        <v>762</v>
      </c>
      <c r="AA61" s="680">
        <f>AA60*AA59</f>
        <v>0</v>
      </c>
      <c r="AB61" s="681"/>
      <c r="AC61" s="681"/>
      <c r="AE61" s="679" t="s">
        <v>762</v>
      </c>
      <c r="AF61" s="680">
        <f>AF60*AF59</f>
        <v>0</v>
      </c>
      <c r="AG61" s="681"/>
      <c r="AH61" s="681"/>
      <c r="AJ61" s="679" t="s">
        <v>762</v>
      </c>
      <c r="AK61" s="680">
        <f>AK60*AK59</f>
        <v>0</v>
      </c>
      <c r="AL61" s="681"/>
      <c r="AM61" s="681"/>
      <c r="AO61" s="679" t="s">
        <v>762</v>
      </c>
      <c r="AP61" s="680">
        <f>AP60*AP59</f>
        <v>0</v>
      </c>
      <c r="AQ61" s="681"/>
      <c r="AR61" s="681"/>
    </row>
    <row r="62" spans="1:44" ht="16" thickBot="1">
      <c r="A62" s="679" t="s">
        <v>763</v>
      </c>
      <c r="B62" s="688" t="e">
        <f>C66/B61</f>
        <v>#DIV/0!</v>
      </c>
      <c r="C62" s="681"/>
      <c r="D62" s="689"/>
      <c r="E62" s="668"/>
      <c r="F62" s="679" t="s">
        <v>763</v>
      </c>
      <c r="G62" s="688" t="e">
        <f>H66/G61</f>
        <v>#DIV/0!</v>
      </c>
      <c r="H62" s="681"/>
      <c r="I62" s="689"/>
      <c r="J62" s="668"/>
      <c r="K62" s="679" t="s">
        <v>763</v>
      </c>
      <c r="L62" s="688" t="e">
        <f>M66/L61</f>
        <v>#DIV/0!</v>
      </c>
      <c r="M62" s="681"/>
      <c r="N62" s="689"/>
      <c r="O62" s="668"/>
      <c r="P62" s="679" t="s">
        <v>763</v>
      </c>
      <c r="Q62" s="688" t="e">
        <f>R66/Q61</f>
        <v>#DIV/0!</v>
      </c>
      <c r="R62" s="681"/>
      <c r="S62" s="689"/>
      <c r="U62" s="679" t="s">
        <v>763</v>
      </c>
      <c r="V62" s="688" t="e">
        <f>W66/V61</f>
        <v>#DIV/0!</v>
      </c>
      <c r="W62" s="681"/>
      <c r="X62" s="689"/>
      <c r="Z62" s="679" t="s">
        <v>763</v>
      </c>
      <c r="AA62" s="688" t="e">
        <f>AB66/AA61</f>
        <v>#DIV/0!</v>
      </c>
      <c r="AB62" s="681"/>
      <c r="AC62" s="689"/>
      <c r="AE62" s="679" t="s">
        <v>763</v>
      </c>
      <c r="AF62" s="688" t="e">
        <f>AG66/AF61</f>
        <v>#DIV/0!</v>
      </c>
      <c r="AG62" s="681"/>
      <c r="AH62" s="689"/>
      <c r="AJ62" s="679" t="s">
        <v>763</v>
      </c>
      <c r="AK62" s="688" t="e">
        <f>AL66/AK61</f>
        <v>#DIV/0!</v>
      </c>
      <c r="AL62" s="681"/>
      <c r="AM62" s="689"/>
      <c r="AO62" s="679" t="s">
        <v>763</v>
      </c>
      <c r="AP62" s="688" t="e">
        <f>AQ66/AP61</f>
        <v>#DIV/0!</v>
      </c>
      <c r="AQ62" s="681"/>
      <c r="AR62" s="689"/>
    </row>
    <row r="63" spans="1:44" ht="16" thickBot="1">
      <c r="A63" s="690"/>
      <c r="B63" s="691" t="s">
        <v>250</v>
      </c>
      <c r="C63" s="691" t="s">
        <v>764</v>
      </c>
      <c r="D63" s="691" t="s">
        <v>18</v>
      </c>
      <c r="E63" s="668"/>
      <c r="F63" s="690"/>
      <c r="G63" s="691" t="s">
        <v>250</v>
      </c>
      <c r="H63" s="691" t="s">
        <v>764</v>
      </c>
      <c r="I63" s="691" t="s">
        <v>18</v>
      </c>
      <c r="J63" s="668"/>
      <c r="K63" s="690"/>
      <c r="L63" s="691" t="s">
        <v>250</v>
      </c>
      <c r="M63" s="691" t="s">
        <v>764</v>
      </c>
      <c r="N63" s="691" t="s">
        <v>18</v>
      </c>
      <c r="O63" s="668"/>
      <c r="P63" s="690"/>
      <c r="Q63" s="691" t="s">
        <v>250</v>
      </c>
      <c r="R63" s="691" t="s">
        <v>764</v>
      </c>
      <c r="S63" s="691" t="s">
        <v>18</v>
      </c>
      <c r="U63" s="690"/>
      <c r="V63" s="691" t="s">
        <v>250</v>
      </c>
      <c r="W63" s="691" t="s">
        <v>764</v>
      </c>
      <c r="X63" s="691" t="s">
        <v>18</v>
      </c>
      <c r="Z63" s="690"/>
      <c r="AA63" s="691" t="s">
        <v>250</v>
      </c>
      <c r="AB63" s="691" t="s">
        <v>764</v>
      </c>
      <c r="AC63" s="691" t="s">
        <v>18</v>
      </c>
      <c r="AE63" s="690"/>
      <c r="AF63" s="691" t="s">
        <v>250</v>
      </c>
      <c r="AG63" s="691" t="s">
        <v>764</v>
      </c>
      <c r="AH63" s="691" t="s">
        <v>18</v>
      </c>
      <c r="AJ63" s="690"/>
      <c r="AK63" s="691" t="s">
        <v>250</v>
      </c>
      <c r="AL63" s="691" t="s">
        <v>764</v>
      </c>
      <c r="AM63" s="691" t="s">
        <v>18</v>
      </c>
      <c r="AO63" s="690"/>
      <c r="AP63" s="691" t="s">
        <v>250</v>
      </c>
      <c r="AQ63" s="691" t="s">
        <v>764</v>
      </c>
      <c r="AR63" s="691" t="s">
        <v>18</v>
      </c>
    </row>
    <row r="64" spans="1:44" ht="16" thickBot="1">
      <c r="A64" s="692" t="s">
        <v>765</v>
      </c>
      <c r="B64" s="693">
        <f>ROUND(C64*$B$89,2)</f>
        <v>0</v>
      </c>
      <c r="C64" s="694">
        <f>ROUND(D64*'Tatsunoko Inputs'!$G$11,2)</f>
        <v>0</v>
      </c>
      <c r="D64" s="694">
        <f>C53</f>
        <v>0</v>
      </c>
      <c r="E64" s="668"/>
      <c r="F64" s="692" t="s">
        <v>765</v>
      </c>
      <c r="G64" s="693">
        <f>ROUND(H64*$B$89,2)</f>
        <v>0</v>
      </c>
      <c r="H64" s="694">
        <f>ROUND(I64*'Tatsunoko Inputs'!$G$11,2)</f>
        <v>0</v>
      </c>
      <c r="I64" s="694">
        <f>H53</f>
        <v>0</v>
      </c>
      <c r="J64" s="668"/>
      <c r="K64" s="692" t="s">
        <v>765</v>
      </c>
      <c r="L64" s="693">
        <f>ROUND(M64*$B$89,2)</f>
        <v>0</v>
      </c>
      <c r="M64" s="694">
        <f>ROUND(N64*'Tatsunoko Inputs'!$G$11,2)</f>
        <v>0</v>
      </c>
      <c r="N64" s="694">
        <f>M53</f>
        <v>0</v>
      </c>
      <c r="O64" s="668"/>
      <c r="P64" s="692" t="s">
        <v>765</v>
      </c>
      <c r="Q64" s="693">
        <f>ROUND(R64*$B$89,2)</f>
        <v>0</v>
      </c>
      <c r="R64" s="694">
        <f>ROUND(S64*'Tatsunoko Inputs'!$G$11,2)</f>
        <v>0</v>
      </c>
      <c r="S64" s="694">
        <f>R53</f>
        <v>0</v>
      </c>
      <c r="U64" s="692" t="s">
        <v>765</v>
      </c>
      <c r="V64" s="693">
        <f>ROUND(W64*$B$89,2)</f>
        <v>0</v>
      </c>
      <c r="W64" s="694">
        <f>ROUND(X64*'Tatsunoko Inputs'!$G$11,2)</f>
        <v>0</v>
      </c>
      <c r="X64" s="694">
        <f>W53</f>
        <v>0</v>
      </c>
      <c r="Z64" s="692" t="s">
        <v>765</v>
      </c>
      <c r="AA64" s="693">
        <f>ROUND(AB64*$B$89,2)</f>
        <v>0</v>
      </c>
      <c r="AB64" s="694">
        <f>ROUND(AC64*'Tatsunoko Inputs'!$G$11,2)</f>
        <v>0</v>
      </c>
      <c r="AC64" s="694">
        <f>AB53</f>
        <v>0</v>
      </c>
      <c r="AE64" s="692" t="s">
        <v>765</v>
      </c>
      <c r="AF64" s="693">
        <f>ROUND(AG64*$B$89,2)</f>
        <v>0</v>
      </c>
      <c r="AG64" s="694">
        <f>ROUND(AH64*'Tatsunoko Inputs'!$G$11,2)</f>
        <v>0</v>
      </c>
      <c r="AH64" s="694">
        <f>AG53</f>
        <v>0</v>
      </c>
      <c r="AJ64" s="692" t="s">
        <v>765</v>
      </c>
      <c r="AK64" s="693">
        <f>ROUND(AL64*$B$89,2)</f>
        <v>0</v>
      </c>
      <c r="AL64" s="694">
        <f>ROUND(AM64*'Tatsunoko Inputs'!$G$11,2)</f>
        <v>0</v>
      </c>
      <c r="AM64" s="694">
        <f>AL53</f>
        <v>0</v>
      </c>
      <c r="AO64" s="692" t="s">
        <v>765</v>
      </c>
      <c r="AP64" s="693">
        <f>ROUND(AQ64*$B$89,2)</f>
        <v>0</v>
      </c>
      <c r="AQ64" s="694">
        <f>ROUND(AR64*'Tatsunoko Inputs'!$G$11,2)</f>
        <v>0</v>
      </c>
      <c r="AR64" s="694">
        <f>AQ53</f>
        <v>0</v>
      </c>
    </row>
    <row r="65" spans="1:44" ht="16" thickBot="1">
      <c r="A65" s="692" t="s">
        <v>766</v>
      </c>
      <c r="B65" s="693">
        <f>ROUND(C65*$B$89,2)</f>
        <v>0</v>
      </c>
      <c r="C65" s="695">
        <f>ROUND(D65*'Tatsunoko Inputs'!$G$11,2)</f>
        <v>0</v>
      </c>
      <c r="D65" s="695">
        <f>ROUND(D64*B56,2)</f>
        <v>0</v>
      </c>
      <c r="E65" s="668"/>
      <c r="F65" s="692" t="s">
        <v>766</v>
      </c>
      <c r="G65" s="693">
        <f>ROUND(H65*$B$89,2)</f>
        <v>0</v>
      </c>
      <c r="H65" s="695">
        <f>ROUND(I65*'Tatsunoko Inputs'!$G$11,2)</f>
        <v>0</v>
      </c>
      <c r="I65" s="695">
        <f>ROUND(I64*G56,2)</f>
        <v>0</v>
      </c>
      <c r="J65" s="668"/>
      <c r="K65" s="692" t="s">
        <v>766</v>
      </c>
      <c r="L65" s="693">
        <f>ROUND(M65*$B$89,2)</f>
        <v>0</v>
      </c>
      <c r="M65" s="695">
        <f>ROUND(N65*'Tatsunoko Inputs'!$G$11,2)</f>
        <v>0</v>
      </c>
      <c r="N65" s="695">
        <f>ROUND(N64*L56,2)</f>
        <v>0</v>
      </c>
      <c r="O65" s="668"/>
      <c r="P65" s="692" t="s">
        <v>766</v>
      </c>
      <c r="Q65" s="693">
        <f>ROUND(R65*$B$89,2)</f>
        <v>0</v>
      </c>
      <c r="R65" s="695">
        <f>ROUND(S65*'Tatsunoko Inputs'!$G$11,2)</f>
        <v>0</v>
      </c>
      <c r="S65" s="695">
        <f>ROUND(S64*Q56,2)</f>
        <v>0</v>
      </c>
      <c r="U65" s="692" t="s">
        <v>766</v>
      </c>
      <c r="V65" s="693">
        <f>ROUND(W65*$B$89,2)</f>
        <v>0</v>
      </c>
      <c r="W65" s="695">
        <f>ROUND(X65*'Tatsunoko Inputs'!$G$11,2)</f>
        <v>0</v>
      </c>
      <c r="X65" s="695">
        <f>ROUND(X64*V56,2)</f>
        <v>0</v>
      </c>
      <c r="Z65" s="692" t="s">
        <v>766</v>
      </c>
      <c r="AA65" s="693">
        <f>ROUND(AB65*$B$89,2)</f>
        <v>0</v>
      </c>
      <c r="AB65" s="695">
        <f>ROUND(AC65*'Tatsunoko Inputs'!$G$11,2)</f>
        <v>0</v>
      </c>
      <c r="AC65" s="695">
        <f>ROUND(AC64*AA56,2)</f>
        <v>0</v>
      </c>
      <c r="AE65" s="692" t="s">
        <v>766</v>
      </c>
      <c r="AF65" s="693">
        <f>ROUND(AG65*$B$89,2)</f>
        <v>0</v>
      </c>
      <c r="AG65" s="695">
        <f>ROUND(AH65*'Tatsunoko Inputs'!$G$11,2)</f>
        <v>0</v>
      </c>
      <c r="AH65" s="695">
        <f>ROUND(AH64*AF56,2)</f>
        <v>0</v>
      </c>
      <c r="AJ65" s="692" t="s">
        <v>766</v>
      </c>
      <c r="AK65" s="693">
        <f>ROUND(AL65*$B$89,2)</f>
        <v>0</v>
      </c>
      <c r="AL65" s="695">
        <f>ROUND(AM65*'Tatsunoko Inputs'!$G$11,2)</f>
        <v>0</v>
      </c>
      <c r="AM65" s="695">
        <f>ROUND(AM64*AK56,2)</f>
        <v>0</v>
      </c>
      <c r="AO65" s="692" t="s">
        <v>766</v>
      </c>
      <c r="AP65" s="693">
        <f>ROUND(AQ65*$B$89,2)</f>
        <v>0</v>
      </c>
      <c r="AQ65" s="695">
        <f>ROUND(AR65*'Tatsunoko Inputs'!$G$11,2)</f>
        <v>0</v>
      </c>
      <c r="AR65" s="695">
        <f>ROUND(AR64*AP56,2)</f>
        <v>0</v>
      </c>
    </row>
    <row r="66" spans="1:44" ht="16" thickBot="1">
      <c r="A66" s="692" t="s">
        <v>767</v>
      </c>
      <c r="B66" s="693">
        <f>ROUND(B65*$B55,2)</f>
        <v>0</v>
      </c>
      <c r="C66" s="695">
        <f>ROUND(C65*B55,2)</f>
        <v>0</v>
      </c>
      <c r="D66" s="695">
        <f>ROUND(D65*B55,2)</f>
        <v>0</v>
      </c>
      <c r="E66" s="668"/>
      <c r="F66" s="692" t="s">
        <v>767</v>
      </c>
      <c r="G66" s="693">
        <f>ROUND(G65*$B55,2)</f>
        <v>0</v>
      </c>
      <c r="H66" s="695">
        <f>ROUND(H65*G55,2)</f>
        <v>0</v>
      </c>
      <c r="I66" s="695">
        <f>ROUND(I65*G55,2)</f>
        <v>0</v>
      </c>
      <c r="J66" s="668"/>
      <c r="K66" s="692" t="s">
        <v>767</v>
      </c>
      <c r="L66" s="693">
        <f>ROUND(L65*$B55,2)</f>
        <v>0</v>
      </c>
      <c r="M66" s="695">
        <f>ROUND(M65*L55,2)</f>
        <v>0</v>
      </c>
      <c r="N66" s="695">
        <f>ROUND(N65*L55,2)</f>
        <v>0</v>
      </c>
      <c r="O66" s="668"/>
      <c r="P66" s="692" t="s">
        <v>767</v>
      </c>
      <c r="Q66" s="693">
        <f>ROUND(Q65*$B55,2)</f>
        <v>0</v>
      </c>
      <c r="R66" s="695">
        <f>ROUND(R65*Q55,2)</f>
        <v>0</v>
      </c>
      <c r="S66" s="695">
        <f>ROUND(S65*Q55,2)</f>
        <v>0</v>
      </c>
      <c r="U66" s="692" t="s">
        <v>767</v>
      </c>
      <c r="V66" s="693">
        <f>ROUND(V65*$B55,2)</f>
        <v>0</v>
      </c>
      <c r="W66" s="695">
        <f>ROUND(W65*V55,2)</f>
        <v>0</v>
      </c>
      <c r="X66" s="695">
        <f>ROUND(X65*V55,2)</f>
        <v>0</v>
      </c>
      <c r="Z66" s="692" t="s">
        <v>767</v>
      </c>
      <c r="AA66" s="693">
        <f>ROUND(AA65*$B55,2)</f>
        <v>0</v>
      </c>
      <c r="AB66" s="695">
        <f>ROUND(AB65*AA55,2)</f>
        <v>0</v>
      </c>
      <c r="AC66" s="695">
        <f>ROUND(AC65*AA55,2)</f>
        <v>0</v>
      </c>
      <c r="AE66" s="692" t="s">
        <v>767</v>
      </c>
      <c r="AF66" s="693">
        <f>ROUND(AF65*$B55,2)</f>
        <v>0</v>
      </c>
      <c r="AG66" s="695">
        <f>ROUND(AG65*AF55,2)</f>
        <v>0</v>
      </c>
      <c r="AH66" s="695">
        <f>ROUND(AH65*AF55,2)</f>
        <v>0</v>
      </c>
      <c r="AJ66" s="692" t="s">
        <v>767</v>
      </c>
      <c r="AK66" s="693">
        <f>ROUND(AK65*$B55,2)</f>
        <v>0</v>
      </c>
      <c r="AL66" s="695">
        <f>ROUND(AL65*AK55,2)</f>
        <v>0</v>
      </c>
      <c r="AM66" s="695">
        <f>ROUND(AM65*AK55,2)</f>
        <v>0</v>
      </c>
      <c r="AO66" s="692" t="s">
        <v>767</v>
      </c>
      <c r="AP66" s="693">
        <f>ROUND(AP65*$B55,2)</f>
        <v>0</v>
      </c>
      <c r="AQ66" s="695">
        <f>ROUND(AQ65*AP55,2)</f>
        <v>0</v>
      </c>
      <c r="AR66" s="695">
        <f>ROUND(AR65*AP55,2)</f>
        <v>0</v>
      </c>
    </row>
    <row r="67" spans="1:44" ht="16" thickBot="1">
      <c r="A67" s="668"/>
      <c r="B67" s="668"/>
      <c r="C67" s="668"/>
      <c r="D67" s="668"/>
      <c r="E67" s="668"/>
      <c r="F67" s="668"/>
      <c r="G67" s="668"/>
      <c r="H67" s="668"/>
      <c r="I67" s="668"/>
      <c r="J67" s="668"/>
      <c r="K67" s="668"/>
      <c r="L67" s="668"/>
      <c r="M67" s="668"/>
      <c r="N67" s="668"/>
      <c r="O67" s="668"/>
      <c r="P67" s="668"/>
      <c r="Q67" s="668"/>
      <c r="R67" s="668"/>
      <c r="S67" s="668"/>
      <c r="U67" s="668"/>
      <c r="V67" s="668"/>
      <c r="W67" s="668"/>
      <c r="X67" s="668"/>
      <c r="Z67" s="668"/>
      <c r="AA67" s="668"/>
      <c r="AB67" s="668"/>
      <c r="AC67" s="668"/>
      <c r="AE67" s="668"/>
      <c r="AF67" s="668"/>
      <c r="AG67" s="668"/>
      <c r="AH67" s="668"/>
      <c r="AJ67" s="668"/>
      <c r="AK67" s="668"/>
      <c r="AL67" s="668"/>
      <c r="AM67" s="668"/>
      <c r="AO67" s="668"/>
      <c r="AP67" s="668"/>
      <c r="AQ67" s="668"/>
      <c r="AR67" s="668"/>
    </row>
    <row r="68" spans="1:44" ht="16" thickBot="1">
      <c r="A68" s="668"/>
      <c r="B68" s="668"/>
      <c r="C68" s="674" t="s">
        <v>754</v>
      </c>
      <c r="D68" s="675"/>
      <c r="E68" s="668"/>
      <c r="F68" s="668"/>
      <c r="G68" s="668"/>
      <c r="H68" s="674" t="s">
        <v>754</v>
      </c>
      <c r="I68" s="675"/>
      <c r="J68" s="668"/>
      <c r="K68" s="668"/>
      <c r="L68" s="668"/>
      <c r="M68" s="674" t="s">
        <v>754</v>
      </c>
      <c r="N68" s="675"/>
      <c r="O68" s="668"/>
      <c r="P68" s="668"/>
      <c r="Q68" s="668"/>
      <c r="R68" s="674" t="s">
        <v>754</v>
      </c>
      <c r="S68" s="675"/>
      <c r="U68" s="668"/>
      <c r="V68" s="668"/>
      <c r="W68" s="674" t="s">
        <v>754</v>
      </c>
      <c r="X68" s="675"/>
      <c r="Z68" s="668"/>
      <c r="AA68" s="668"/>
      <c r="AB68" s="674" t="s">
        <v>754</v>
      </c>
      <c r="AC68" s="675"/>
      <c r="AE68" s="668"/>
      <c r="AF68" s="668"/>
      <c r="AG68" s="674" t="s">
        <v>754</v>
      </c>
      <c r="AH68" s="675"/>
      <c r="AJ68" s="668"/>
      <c r="AK68" s="668"/>
      <c r="AL68" s="674" t="s">
        <v>754</v>
      </c>
      <c r="AM68" s="675"/>
      <c r="AO68" s="668"/>
      <c r="AP68" s="668"/>
      <c r="AQ68" s="674" t="s">
        <v>754</v>
      </c>
      <c r="AR68" s="675"/>
    </row>
    <row r="69" spans="1:44" s="677" customFormat="1" ht="32">
      <c r="A69" s="676" t="s">
        <v>772</v>
      </c>
      <c r="B69" s="1172" t="s">
        <v>18</v>
      </c>
      <c r="C69" s="1174">
        <f>'Tatsunoko Inputs'!E27</f>
        <v>0</v>
      </c>
      <c r="D69" s="1172"/>
      <c r="E69" s="1179"/>
      <c r="F69" s="676" t="s">
        <v>772</v>
      </c>
      <c r="G69" s="1172" t="s">
        <v>18</v>
      </c>
      <c r="H69" s="1176">
        <f>'Tatsunoko Inputs'!E40</f>
        <v>0</v>
      </c>
      <c r="I69" s="1172"/>
      <c r="J69" s="1179"/>
      <c r="K69" s="676" t="s">
        <v>772</v>
      </c>
      <c r="L69" s="1172" t="s">
        <v>18</v>
      </c>
      <c r="M69" s="1174">
        <f>'Tatsunoko Inputs'!E53</f>
        <v>0</v>
      </c>
      <c r="N69" s="1172"/>
      <c r="O69" s="1180"/>
      <c r="P69" s="676" t="s">
        <v>772</v>
      </c>
      <c r="Q69" s="1172" t="s">
        <v>18</v>
      </c>
      <c r="R69" s="1174">
        <f>'Tatsunoko Inputs'!E66</f>
        <v>0</v>
      </c>
      <c r="S69" s="1172"/>
      <c r="U69" s="676" t="s">
        <v>772</v>
      </c>
      <c r="V69" s="1172" t="s">
        <v>18</v>
      </c>
      <c r="W69" s="1174">
        <f>'Tatsunoko Inputs'!E79</f>
        <v>0</v>
      </c>
      <c r="X69" s="1172"/>
      <c r="Z69" s="676" t="s">
        <v>772</v>
      </c>
      <c r="AA69" s="1172" t="s">
        <v>18</v>
      </c>
      <c r="AB69" s="1174">
        <f>'Tatsunoko Inputs'!E92</f>
        <v>0</v>
      </c>
      <c r="AC69" s="1172"/>
      <c r="AE69" s="676" t="s">
        <v>772</v>
      </c>
      <c r="AF69" s="1172" t="s">
        <v>18</v>
      </c>
      <c r="AG69" s="1174">
        <f>'Tatsunoko Inputs'!E105</f>
        <v>0</v>
      </c>
      <c r="AH69" s="1172"/>
      <c r="AJ69" s="676" t="s">
        <v>772</v>
      </c>
      <c r="AK69" s="1172" t="s">
        <v>18</v>
      </c>
      <c r="AL69" s="1174">
        <f>'Tatsunoko Inputs'!E118</f>
        <v>0</v>
      </c>
      <c r="AM69" s="1172"/>
      <c r="AO69" s="676" t="s">
        <v>772</v>
      </c>
      <c r="AP69" s="1172" t="s">
        <v>18</v>
      </c>
      <c r="AQ69" s="1174">
        <f>'Tatsunoko Inputs'!E131</f>
        <v>0</v>
      </c>
      <c r="AR69" s="1172"/>
    </row>
    <row r="70" spans="1:44" s="677" customFormat="1" ht="16" thickBot="1">
      <c r="A70" s="678" t="s">
        <v>773</v>
      </c>
      <c r="B70" s="1173"/>
      <c r="C70" s="1175"/>
      <c r="D70" s="1173"/>
      <c r="E70" s="1179"/>
      <c r="F70" s="678" t="s">
        <v>773</v>
      </c>
      <c r="G70" s="1173"/>
      <c r="H70" s="1177"/>
      <c r="I70" s="1173"/>
      <c r="J70" s="1179"/>
      <c r="K70" s="678" t="s">
        <v>773</v>
      </c>
      <c r="L70" s="1173"/>
      <c r="M70" s="1175"/>
      <c r="N70" s="1173"/>
      <c r="O70" s="1180"/>
      <c r="P70" s="678" t="s">
        <v>773</v>
      </c>
      <c r="Q70" s="1173"/>
      <c r="R70" s="1175"/>
      <c r="S70" s="1173"/>
      <c r="U70" s="678" t="s">
        <v>773</v>
      </c>
      <c r="V70" s="1173"/>
      <c r="W70" s="1175"/>
      <c r="X70" s="1173"/>
      <c r="Z70" s="678" t="s">
        <v>773</v>
      </c>
      <c r="AA70" s="1173"/>
      <c r="AB70" s="1175"/>
      <c r="AC70" s="1173"/>
      <c r="AE70" s="678" t="s">
        <v>773</v>
      </c>
      <c r="AF70" s="1173"/>
      <c r="AG70" s="1175"/>
      <c r="AH70" s="1173"/>
      <c r="AJ70" s="678" t="s">
        <v>773</v>
      </c>
      <c r="AK70" s="1173"/>
      <c r="AL70" s="1175"/>
      <c r="AM70" s="1173"/>
      <c r="AO70" s="678" t="s">
        <v>773</v>
      </c>
      <c r="AP70" s="1173"/>
      <c r="AQ70" s="1175"/>
      <c r="AR70" s="1173"/>
    </row>
    <row r="71" spans="1:44" ht="16" thickBot="1">
      <c r="A71" s="679" t="s">
        <v>759</v>
      </c>
      <c r="B71" s="681">
        <f>'Tatsunoko Inputs'!I27</f>
        <v>0</v>
      </c>
      <c r="C71" s="681"/>
      <c r="D71" s="689"/>
      <c r="E71" s="668"/>
      <c r="F71" s="679" t="s">
        <v>759</v>
      </c>
      <c r="G71" s="681">
        <f>'Tatsunoko Inputs'!I40</f>
        <v>0</v>
      </c>
      <c r="H71" s="681"/>
      <c r="I71" s="689"/>
      <c r="J71" s="668"/>
      <c r="K71" s="679" t="s">
        <v>759</v>
      </c>
      <c r="L71" s="681">
        <f>'Tatsunoko Inputs'!I53</f>
        <v>0</v>
      </c>
      <c r="M71" s="681"/>
      <c r="N71" s="689"/>
      <c r="O71" s="668"/>
      <c r="P71" s="679" t="s">
        <v>759</v>
      </c>
      <c r="Q71" s="681">
        <f>'Tatsunoko Inputs'!I66</f>
        <v>0</v>
      </c>
      <c r="R71" s="681"/>
      <c r="S71" s="689"/>
      <c r="U71" s="679" t="s">
        <v>759</v>
      </c>
      <c r="V71" s="681">
        <f>'Tatsunoko Inputs'!I79</f>
        <v>0</v>
      </c>
      <c r="W71" s="681"/>
      <c r="X71" s="689"/>
      <c r="Z71" s="679" t="s">
        <v>759</v>
      </c>
      <c r="AA71" s="681">
        <f>'Tatsunoko Inputs'!I92</f>
        <v>0</v>
      </c>
      <c r="AB71" s="681"/>
      <c r="AC71" s="689"/>
      <c r="AE71" s="679" t="s">
        <v>759</v>
      </c>
      <c r="AF71" s="681">
        <f>'Tatsunoko Inputs'!I105</f>
        <v>0</v>
      </c>
      <c r="AG71" s="681"/>
      <c r="AH71" s="689"/>
      <c r="AJ71" s="679" t="s">
        <v>759</v>
      </c>
      <c r="AK71" s="681">
        <f>'Tatsunoko Inputs'!I118</f>
        <v>0</v>
      </c>
      <c r="AL71" s="681"/>
      <c r="AM71" s="689"/>
      <c r="AO71" s="679" t="s">
        <v>759</v>
      </c>
      <c r="AP71" s="681">
        <f>'Tatsunoko Inputs'!I131</f>
        <v>0</v>
      </c>
      <c r="AQ71" s="681"/>
      <c r="AR71" s="689"/>
    </row>
    <row r="72" spans="1:44" ht="16" thickBot="1">
      <c r="A72" s="679" t="s">
        <v>774</v>
      </c>
      <c r="B72" s="681">
        <f>'Tatsunoko Inputs'!M27</f>
        <v>0</v>
      </c>
      <c r="C72" s="681"/>
      <c r="D72" s="681"/>
      <c r="E72" s="668"/>
      <c r="F72" s="679" t="s">
        <v>774</v>
      </c>
      <c r="G72" s="681">
        <f>'Tatsunoko Inputs'!M40</f>
        <v>0</v>
      </c>
      <c r="H72" s="681"/>
      <c r="I72" s="681"/>
      <c r="J72" s="668"/>
      <c r="K72" s="679" t="s">
        <v>774</v>
      </c>
      <c r="L72" s="681">
        <f>'Tatsunoko Inputs'!M53</f>
        <v>0</v>
      </c>
      <c r="M72" s="681"/>
      <c r="N72" s="681"/>
      <c r="O72" s="668"/>
      <c r="P72" s="679" t="s">
        <v>774</v>
      </c>
      <c r="Q72" s="681">
        <f>'Tatsunoko Inputs'!M66</f>
        <v>0</v>
      </c>
      <c r="R72" s="681"/>
      <c r="S72" s="681"/>
      <c r="U72" s="679" t="s">
        <v>774</v>
      </c>
      <c r="V72" s="681">
        <f>'Tatsunoko Inputs'!M79</f>
        <v>0</v>
      </c>
      <c r="W72" s="681"/>
      <c r="X72" s="681"/>
      <c r="Z72" s="679" t="s">
        <v>774</v>
      </c>
      <c r="AA72" s="681">
        <f>'Tatsunoko Inputs'!M92</f>
        <v>0</v>
      </c>
      <c r="AB72" s="681"/>
      <c r="AC72" s="681"/>
      <c r="AE72" s="679" t="s">
        <v>774</v>
      </c>
      <c r="AF72" s="681">
        <f>'Tatsunoko Inputs'!M105</f>
        <v>0</v>
      </c>
      <c r="AG72" s="681"/>
      <c r="AH72" s="681"/>
      <c r="AJ72" s="679" t="s">
        <v>774</v>
      </c>
      <c r="AK72" s="681">
        <f>'Tatsunoko Inputs'!M118</f>
        <v>0</v>
      </c>
      <c r="AL72" s="681"/>
      <c r="AM72" s="681"/>
      <c r="AO72" s="679" t="s">
        <v>774</v>
      </c>
      <c r="AP72" s="681">
        <f>'Tatsunoko Inputs'!M131</f>
        <v>0</v>
      </c>
      <c r="AQ72" s="681"/>
      <c r="AR72" s="681"/>
    </row>
    <row r="73" spans="1:44" ht="16" thickBot="1">
      <c r="A73" s="679" t="s">
        <v>762</v>
      </c>
      <c r="B73" s="680">
        <f>B71*B72</f>
        <v>0</v>
      </c>
      <c r="C73" s="681"/>
      <c r="D73" s="681"/>
      <c r="E73" s="668"/>
      <c r="F73" s="679" t="s">
        <v>762</v>
      </c>
      <c r="G73" s="680">
        <f>G71*G72</f>
        <v>0</v>
      </c>
      <c r="H73" s="681"/>
      <c r="I73" s="681"/>
      <c r="J73" s="668"/>
      <c r="K73" s="679" t="s">
        <v>762</v>
      </c>
      <c r="L73" s="680">
        <f>L71*L72</f>
        <v>0</v>
      </c>
      <c r="M73" s="681"/>
      <c r="N73" s="681"/>
      <c r="O73" s="668"/>
      <c r="P73" s="679" t="s">
        <v>762</v>
      </c>
      <c r="Q73" s="680">
        <f>Q71*Q72</f>
        <v>0</v>
      </c>
      <c r="R73" s="681"/>
      <c r="S73" s="681"/>
      <c r="U73" s="679" t="s">
        <v>762</v>
      </c>
      <c r="V73" s="680">
        <f>V71*V72</f>
        <v>0</v>
      </c>
      <c r="W73" s="681"/>
      <c r="X73" s="681"/>
      <c r="Z73" s="679" t="s">
        <v>762</v>
      </c>
      <c r="AA73" s="680">
        <f>AA71*AA72</f>
        <v>0</v>
      </c>
      <c r="AB73" s="681"/>
      <c r="AC73" s="681"/>
      <c r="AE73" s="679" t="s">
        <v>762</v>
      </c>
      <c r="AF73" s="680">
        <f>AF71*AF72</f>
        <v>0</v>
      </c>
      <c r="AG73" s="681"/>
      <c r="AH73" s="681"/>
      <c r="AJ73" s="679" t="s">
        <v>762</v>
      </c>
      <c r="AK73" s="680">
        <f>AK71*AK72</f>
        <v>0</v>
      </c>
      <c r="AL73" s="681"/>
      <c r="AM73" s="681"/>
      <c r="AO73" s="679" t="s">
        <v>762</v>
      </c>
      <c r="AP73" s="680">
        <f>AP71*AP72</f>
        <v>0</v>
      </c>
      <c r="AQ73" s="681"/>
      <c r="AR73" s="681"/>
    </row>
    <row r="74" spans="1:44" ht="16" thickBot="1">
      <c r="A74" s="679" t="s">
        <v>763</v>
      </c>
      <c r="B74" s="689" t="e">
        <f>D77/B73</f>
        <v>#DIV/0!</v>
      </c>
      <c r="C74" s="681"/>
      <c r="D74" s="689"/>
      <c r="E74" s="668"/>
      <c r="F74" s="679" t="s">
        <v>763</v>
      </c>
      <c r="G74" s="689" t="e">
        <f>I77/G73</f>
        <v>#DIV/0!</v>
      </c>
      <c r="H74" s="681"/>
      <c r="I74" s="689"/>
      <c r="J74" s="668"/>
      <c r="K74" s="679" t="s">
        <v>763</v>
      </c>
      <c r="L74" s="689" t="e">
        <f>N77/L73</f>
        <v>#DIV/0!</v>
      </c>
      <c r="M74" s="681"/>
      <c r="N74" s="689"/>
      <c r="O74" s="668"/>
      <c r="P74" s="679" t="s">
        <v>763</v>
      </c>
      <c r="Q74" s="689" t="e">
        <f>S77/Q73</f>
        <v>#DIV/0!</v>
      </c>
      <c r="R74" s="681"/>
      <c r="S74" s="689"/>
      <c r="U74" s="679" t="s">
        <v>763</v>
      </c>
      <c r="V74" s="689" t="e">
        <f>X77/V73</f>
        <v>#DIV/0!</v>
      </c>
      <c r="W74" s="681"/>
      <c r="X74" s="689"/>
      <c r="Z74" s="679" t="s">
        <v>763</v>
      </c>
      <c r="AA74" s="689" t="e">
        <f>AC77/AA73</f>
        <v>#DIV/0!</v>
      </c>
      <c r="AB74" s="681"/>
      <c r="AC74" s="689"/>
      <c r="AE74" s="679" t="s">
        <v>763</v>
      </c>
      <c r="AF74" s="689" t="e">
        <f>AH77/AF73</f>
        <v>#DIV/0!</v>
      </c>
      <c r="AG74" s="681"/>
      <c r="AH74" s="689"/>
      <c r="AJ74" s="679" t="s">
        <v>763</v>
      </c>
      <c r="AK74" s="689" t="e">
        <f>AM77/AK73</f>
        <v>#DIV/0!</v>
      </c>
      <c r="AL74" s="681"/>
      <c r="AM74" s="689"/>
      <c r="AO74" s="679" t="s">
        <v>763</v>
      </c>
      <c r="AP74" s="689" t="e">
        <f>AR77/AP73</f>
        <v>#DIV/0!</v>
      </c>
      <c r="AQ74" s="681"/>
      <c r="AR74" s="689"/>
    </row>
    <row r="75" spans="1:44" ht="16" thickBot="1">
      <c r="A75" s="690"/>
      <c r="B75" s="691" t="s">
        <v>250</v>
      </c>
      <c r="C75" s="691" t="s">
        <v>764</v>
      </c>
      <c r="D75" s="691" t="s">
        <v>18</v>
      </c>
      <c r="E75" s="668"/>
      <c r="F75" s="690"/>
      <c r="G75" s="691" t="s">
        <v>250</v>
      </c>
      <c r="H75" s="691" t="s">
        <v>764</v>
      </c>
      <c r="I75" s="691" t="s">
        <v>18</v>
      </c>
      <c r="J75" s="668"/>
      <c r="K75" s="690"/>
      <c r="L75" s="691" t="s">
        <v>250</v>
      </c>
      <c r="M75" s="691" t="s">
        <v>764</v>
      </c>
      <c r="N75" s="691" t="s">
        <v>18</v>
      </c>
      <c r="O75" s="668"/>
      <c r="P75" s="690"/>
      <c r="Q75" s="691" t="s">
        <v>250</v>
      </c>
      <c r="R75" s="691" t="s">
        <v>764</v>
      </c>
      <c r="S75" s="691" t="s">
        <v>18</v>
      </c>
      <c r="U75" s="690"/>
      <c r="V75" s="691" t="s">
        <v>250</v>
      </c>
      <c r="W75" s="691" t="s">
        <v>764</v>
      </c>
      <c r="X75" s="691" t="s">
        <v>18</v>
      </c>
      <c r="Z75" s="690"/>
      <c r="AA75" s="691" t="s">
        <v>250</v>
      </c>
      <c r="AB75" s="691" t="s">
        <v>764</v>
      </c>
      <c r="AC75" s="691" t="s">
        <v>18</v>
      </c>
      <c r="AE75" s="690"/>
      <c r="AF75" s="691" t="s">
        <v>250</v>
      </c>
      <c r="AG75" s="691" t="s">
        <v>764</v>
      </c>
      <c r="AH75" s="691" t="s">
        <v>18</v>
      </c>
      <c r="AJ75" s="690"/>
      <c r="AK75" s="691" t="s">
        <v>250</v>
      </c>
      <c r="AL75" s="691" t="s">
        <v>764</v>
      </c>
      <c r="AM75" s="691" t="s">
        <v>18</v>
      </c>
      <c r="AO75" s="690"/>
      <c r="AP75" s="691" t="s">
        <v>250</v>
      </c>
      <c r="AQ75" s="691" t="s">
        <v>764</v>
      </c>
      <c r="AR75" s="691" t="s">
        <v>18</v>
      </c>
    </row>
    <row r="76" spans="1:44" ht="16" thickBot="1">
      <c r="A76" s="692" t="s">
        <v>765</v>
      </c>
      <c r="B76" s="693">
        <f>ROUND(C76*$B$89,2)</f>
        <v>0</v>
      </c>
      <c r="C76" s="694">
        <f>C69</f>
        <v>0</v>
      </c>
      <c r="D76" s="694">
        <f>C69</f>
        <v>0</v>
      </c>
      <c r="E76" s="668"/>
      <c r="F76" s="692" t="s">
        <v>765</v>
      </c>
      <c r="G76" s="693">
        <f>ROUND(H76*$B$89,2)</f>
        <v>0</v>
      </c>
      <c r="H76" s="694">
        <f>H69</f>
        <v>0</v>
      </c>
      <c r="I76" s="694">
        <f>H69</f>
        <v>0</v>
      </c>
      <c r="J76" s="668"/>
      <c r="K76" s="692" t="s">
        <v>765</v>
      </c>
      <c r="L76" s="693">
        <f>ROUND(M76*$B$89,2)</f>
        <v>0</v>
      </c>
      <c r="M76" s="694">
        <f>M69</f>
        <v>0</v>
      </c>
      <c r="N76" s="694">
        <f>M69</f>
        <v>0</v>
      </c>
      <c r="O76" s="668"/>
      <c r="P76" s="692" t="s">
        <v>765</v>
      </c>
      <c r="Q76" s="693">
        <f>ROUND(R76*$B$89,2)</f>
        <v>0</v>
      </c>
      <c r="R76" s="694">
        <f>R69</f>
        <v>0</v>
      </c>
      <c r="S76" s="694">
        <f>R69</f>
        <v>0</v>
      </c>
      <c r="U76" s="692" t="s">
        <v>765</v>
      </c>
      <c r="V76" s="693">
        <f>ROUND(W76*$B$89,2)</f>
        <v>0</v>
      </c>
      <c r="W76" s="694">
        <f>W69</f>
        <v>0</v>
      </c>
      <c r="X76" s="694">
        <f>W69</f>
        <v>0</v>
      </c>
      <c r="Z76" s="692" t="s">
        <v>765</v>
      </c>
      <c r="AA76" s="693">
        <f>ROUND(AB76*$B$89,2)</f>
        <v>0</v>
      </c>
      <c r="AB76" s="694">
        <f>AB69</f>
        <v>0</v>
      </c>
      <c r="AC76" s="694">
        <f>AB69</f>
        <v>0</v>
      </c>
      <c r="AE76" s="692" t="s">
        <v>765</v>
      </c>
      <c r="AF76" s="693">
        <f>ROUND(AG76*$B$89,2)</f>
        <v>0</v>
      </c>
      <c r="AG76" s="694">
        <f>AG69</f>
        <v>0</v>
      </c>
      <c r="AH76" s="694">
        <f>AG69</f>
        <v>0</v>
      </c>
      <c r="AJ76" s="692" t="s">
        <v>765</v>
      </c>
      <c r="AK76" s="693">
        <f>ROUND(AL76*$B$89,2)</f>
        <v>0</v>
      </c>
      <c r="AL76" s="694">
        <f>AL69</f>
        <v>0</v>
      </c>
      <c r="AM76" s="694">
        <f>AL69</f>
        <v>0</v>
      </c>
      <c r="AO76" s="692" t="s">
        <v>765</v>
      </c>
      <c r="AP76" s="693">
        <f>ROUND(AQ76*$B$89,2)</f>
        <v>0</v>
      </c>
      <c r="AQ76" s="694">
        <f>AQ69</f>
        <v>0</v>
      </c>
      <c r="AR76" s="694">
        <f>AQ69</f>
        <v>0</v>
      </c>
    </row>
    <row r="77" spans="1:44" ht="16" thickBot="1">
      <c r="A77" s="692" t="s">
        <v>767</v>
      </c>
      <c r="B77" s="693">
        <f>ROUND(B76*B71,2)</f>
        <v>0</v>
      </c>
      <c r="C77" s="694">
        <f>ROUND(C76*B71,2)</f>
        <v>0</v>
      </c>
      <c r="D77" s="694">
        <f>ROUND(D76*B71,2)</f>
        <v>0</v>
      </c>
      <c r="E77" s="668"/>
      <c r="F77" s="692" t="s">
        <v>767</v>
      </c>
      <c r="G77" s="693">
        <f>ROUND(G76*G71,2)</f>
        <v>0</v>
      </c>
      <c r="H77" s="694">
        <f>ROUND(H76*G71,2)</f>
        <v>0</v>
      </c>
      <c r="I77" s="694">
        <f>ROUND(I76*G71,2)</f>
        <v>0</v>
      </c>
      <c r="J77" s="668"/>
      <c r="K77" s="692" t="s">
        <v>767</v>
      </c>
      <c r="L77" s="693">
        <f>ROUND(L76*L71,2)</f>
        <v>0</v>
      </c>
      <c r="M77" s="694">
        <f>ROUND(M76*L71,2)</f>
        <v>0</v>
      </c>
      <c r="N77" s="694">
        <f>ROUND(N76*L71,2)</f>
        <v>0</v>
      </c>
      <c r="O77" s="668"/>
      <c r="P77" s="692" t="s">
        <v>767</v>
      </c>
      <c r="Q77" s="693">
        <f>ROUND(Q76*Q71,2)</f>
        <v>0</v>
      </c>
      <c r="R77" s="694">
        <f>ROUND(R76*Q71,2)</f>
        <v>0</v>
      </c>
      <c r="S77" s="694">
        <f>ROUND(S76*Q71,2)</f>
        <v>0</v>
      </c>
      <c r="U77" s="692" t="s">
        <v>767</v>
      </c>
      <c r="V77" s="693">
        <f>ROUND(V76*V71,2)</f>
        <v>0</v>
      </c>
      <c r="W77" s="694">
        <f>ROUND(W76*V71,2)</f>
        <v>0</v>
      </c>
      <c r="X77" s="694">
        <f>ROUND(X76*V71,2)</f>
        <v>0</v>
      </c>
      <c r="Z77" s="692" t="s">
        <v>767</v>
      </c>
      <c r="AA77" s="693">
        <f>ROUND(AA76*AA71,2)</f>
        <v>0</v>
      </c>
      <c r="AB77" s="694">
        <f>ROUND(AB76*AA71,2)</f>
        <v>0</v>
      </c>
      <c r="AC77" s="694">
        <f>ROUND(AC76*AA71,2)</f>
        <v>0</v>
      </c>
      <c r="AE77" s="692" t="s">
        <v>767</v>
      </c>
      <c r="AF77" s="693">
        <f>ROUND(AF76*AF71,2)</f>
        <v>0</v>
      </c>
      <c r="AG77" s="694">
        <f>ROUND(AG76*AF71,2)</f>
        <v>0</v>
      </c>
      <c r="AH77" s="694">
        <f>ROUND(AH76*AF71,2)</f>
        <v>0</v>
      </c>
      <c r="AJ77" s="692" t="s">
        <v>767</v>
      </c>
      <c r="AK77" s="693">
        <f>ROUND(AK76*AK71,2)</f>
        <v>0</v>
      </c>
      <c r="AL77" s="694">
        <f>ROUND(AL76*AK71,2)</f>
        <v>0</v>
      </c>
      <c r="AM77" s="694">
        <f>ROUND(AM76*AK71,2)</f>
        <v>0</v>
      </c>
      <c r="AO77" s="692" t="s">
        <v>767</v>
      </c>
      <c r="AP77" s="693">
        <f>ROUND(AP76*AP71,2)</f>
        <v>0</v>
      </c>
      <c r="AQ77" s="694">
        <f>ROUND(AQ76*AP71,2)</f>
        <v>0</v>
      </c>
      <c r="AR77" s="694">
        <f>ROUND(AR76*AP71,2)</f>
        <v>0</v>
      </c>
    </row>
    <row r="78" spans="1:44">
      <c r="A78" s="668"/>
      <c r="B78" s="668"/>
      <c r="C78" s="668"/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668"/>
      <c r="P78" s="668"/>
      <c r="Q78" s="668"/>
      <c r="R78" s="668"/>
      <c r="S78" s="668"/>
      <c r="U78" s="668"/>
      <c r="V78" s="668"/>
      <c r="W78" s="668"/>
      <c r="X78" s="668"/>
      <c r="Z78" s="668"/>
      <c r="AA78" s="668"/>
      <c r="AB78" s="668"/>
      <c r="AC78" s="668"/>
      <c r="AE78" s="668"/>
      <c r="AF78" s="668"/>
      <c r="AG78" s="668"/>
      <c r="AH78" s="668"/>
      <c r="AJ78" s="668"/>
      <c r="AK78" s="668"/>
      <c r="AL78" s="668"/>
      <c r="AM78" s="668"/>
      <c r="AO78" s="668"/>
      <c r="AP78" s="668"/>
      <c r="AQ78" s="668"/>
      <c r="AR78" s="668"/>
    </row>
    <row r="79" spans="1:44">
      <c r="A79" s="668" t="s">
        <v>149</v>
      </c>
      <c r="B79" s="696">
        <f>B13+B29+B45+B61+B73</f>
        <v>1824000</v>
      </c>
      <c r="C79" s="668"/>
      <c r="D79" s="697"/>
      <c r="E79" s="668"/>
      <c r="F79" s="668" t="s">
        <v>149</v>
      </c>
      <c r="G79" s="696">
        <f>G13+G29+G45+G61+G73</f>
        <v>1216000</v>
      </c>
      <c r="H79" s="668"/>
      <c r="I79" s="697"/>
      <c r="J79" s="668"/>
      <c r="K79" s="668" t="s">
        <v>149</v>
      </c>
      <c r="L79" s="696">
        <f>L13+L29+L45+L61+L73</f>
        <v>1216000</v>
      </c>
      <c r="M79" s="668"/>
      <c r="N79" s="697"/>
      <c r="O79" s="668"/>
      <c r="P79" s="668" t="s">
        <v>149</v>
      </c>
      <c r="Q79" s="696">
        <f>Q13+Q29+Q45+Q61+Q73</f>
        <v>1216000</v>
      </c>
      <c r="R79" s="668"/>
      <c r="S79" s="697"/>
      <c r="U79" s="668" t="s">
        <v>149</v>
      </c>
      <c r="V79" s="696">
        <f>V13+V29+V45+V61+V73</f>
        <v>0</v>
      </c>
      <c r="W79" s="668"/>
      <c r="X79" s="697"/>
      <c r="Z79" s="668" t="s">
        <v>149</v>
      </c>
      <c r="AA79" s="696">
        <f>AA13+AA29+AA45+AA61+AA73</f>
        <v>0</v>
      </c>
      <c r="AB79" s="668"/>
      <c r="AC79" s="697"/>
      <c r="AE79" s="668" t="s">
        <v>149</v>
      </c>
      <c r="AF79" s="696">
        <f>AF13+AF29+AF45+AF61+AF73</f>
        <v>0</v>
      </c>
      <c r="AG79" s="668"/>
      <c r="AH79" s="697"/>
      <c r="AJ79" s="668" t="s">
        <v>149</v>
      </c>
      <c r="AK79" s="696">
        <f>AK13+AK29+AK45+AK61+AK73</f>
        <v>0</v>
      </c>
      <c r="AL79" s="668"/>
      <c r="AM79" s="697"/>
      <c r="AO79" s="668" t="s">
        <v>149</v>
      </c>
      <c r="AP79" s="696">
        <f>AP13+AP29+AP45+AP61+AP73</f>
        <v>0</v>
      </c>
      <c r="AQ79" s="668"/>
      <c r="AR79" s="697"/>
    </row>
    <row r="80" spans="1:44">
      <c r="A80" s="668" t="s">
        <v>761</v>
      </c>
      <c r="B80" s="696">
        <f>B12+B28+B44+B60</f>
        <v>412800</v>
      </c>
      <c r="C80" s="668"/>
      <c r="D80" s="697"/>
      <c r="E80" s="668"/>
      <c r="F80" s="668" t="s">
        <v>761</v>
      </c>
      <c r="G80" s="696">
        <f>G12+G28+G44+G60</f>
        <v>275200</v>
      </c>
      <c r="H80" s="668"/>
      <c r="I80" s="697"/>
      <c r="J80" s="668"/>
      <c r="K80" s="668" t="s">
        <v>761</v>
      </c>
      <c r="L80" s="696">
        <f>L12+L28+L44+L60</f>
        <v>275200</v>
      </c>
      <c r="M80" s="668"/>
      <c r="N80" s="697"/>
      <c r="O80" s="668"/>
      <c r="P80" s="668" t="s">
        <v>761</v>
      </c>
      <c r="Q80" s="696">
        <f>Q12+Q28+Q44+Q60</f>
        <v>275200</v>
      </c>
      <c r="R80" s="668"/>
      <c r="S80" s="697"/>
      <c r="U80" s="668" t="s">
        <v>761</v>
      </c>
      <c r="V80" s="696">
        <f>V12+V28+V44+V60</f>
        <v>0</v>
      </c>
      <c r="W80" s="668"/>
      <c r="X80" s="697"/>
      <c r="Z80" s="668" t="s">
        <v>761</v>
      </c>
      <c r="AA80" s="696">
        <f>AA12+AA28+AA44+AA60</f>
        <v>0</v>
      </c>
      <c r="AB80" s="668"/>
      <c r="AC80" s="697"/>
      <c r="AE80" s="668" t="s">
        <v>761</v>
      </c>
      <c r="AF80" s="696">
        <f>AF12+AF28+AF44+AF60</f>
        <v>0</v>
      </c>
      <c r="AG80" s="668"/>
      <c r="AH80" s="697"/>
      <c r="AJ80" s="668" t="s">
        <v>761</v>
      </c>
      <c r="AK80" s="696">
        <f>AK12+AK28+AK44+AK60</f>
        <v>0</v>
      </c>
      <c r="AL80" s="668"/>
      <c r="AM80" s="697"/>
      <c r="AO80" s="668" t="s">
        <v>761</v>
      </c>
      <c r="AP80" s="696">
        <f>AP12+AP28+AP44+AP60</f>
        <v>0</v>
      </c>
      <c r="AQ80" s="668"/>
      <c r="AR80" s="697"/>
    </row>
    <row r="81" spans="1:68">
      <c r="A81" s="668" t="s">
        <v>144</v>
      </c>
      <c r="B81" s="696">
        <f>B9+B41+B25+B57+B71</f>
        <v>44400</v>
      </c>
      <c r="C81" s="668"/>
      <c r="D81" s="697"/>
      <c r="E81" s="668"/>
      <c r="F81" s="668" t="s">
        <v>144</v>
      </c>
      <c r="G81" s="696">
        <f>G9+G41+G25+G57+G71</f>
        <v>29600</v>
      </c>
      <c r="H81" s="668"/>
      <c r="I81" s="697"/>
      <c r="J81" s="668"/>
      <c r="K81" s="668" t="s">
        <v>144</v>
      </c>
      <c r="L81" s="696">
        <f>L9+L41+L25+L57+L71</f>
        <v>29600</v>
      </c>
      <c r="M81" s="668"/>
      <c r="N81" s="697"/>
      <c r="O81" s="668"/>
      <c r="P81" s="668" t="s">
        <v>144</v>
      </c>
      <c r="Q81" s="696">
        <f>Q9+Q41+Q25+Q57+Q71</f>
        <v>29600</v>
      </c>
      <c r="R81" s="668"/>
      <c r="S81" s="697"/>
      <c r="U81" s="668" t="s">
        <v>144</v>
      </c>
      <c r="V81" s="696">
        <f>V9+V41+V25+V57+V71</f>
        <v>0</v>
      </c>
      <c r="W81" s="668"/>
      <c r="X81" s="697"/>
      <c r="Z81" s="668" t="s">
        <v>144</v>
      </c>
      <c r="AA81" s="696">
        <f>AA9+AA41+AA25+AA57+AA71</f>
        <v>0</v>
      </c>
      <c r="AB81" s="668"/>
      <c r="AC81" s="697"/>
      <c r="AE81" s="668" t="s">
        <v>144</v>
      </c>
      <c r="AF81" s="696">
        <f>AF9+AF41+AF25+AF57+AF71</f>
        <v>0</v>
      </c>
      <c r="AG81" s="668"/>
      <c r="AH81" s="697"/>
      <c r="AJ81" s="668" t="s">
        <v>144</v>
      </c>
      <c r="AK81" s="696">
        <f>AK9+AK41+AK25+AK57+AK71</f>
        <v>0</v>
      </c>
      <c r="AL81" s="668"/>
      <c r="AM81" s="697"/>
      <c r="AO81" s="668" t="s">
        <v>144</v>
      </c>
      <c r="AP81" s="696">
        <f>AP9+AP41+AP25+AP57+AP71</f>
        <v>0</v>
      </c>
      <c r="AQ81" s="668"/>
      <c r="AR81" s="697"/>
    </row>
    <row r="82" spans="1:68">
      <c r="A82" s="668" t="s">
        <v>140</v>
      </c>
      <c r="B82" s="696">
        <f>B7+B23+B39+B55</f>
        <v>1950</v>
      </c>
      <c r="C82" s="668"/>
      <c r="D82" s="698"/>
      <c r="E82" s="668"/>
      <c r="F82" s="668" t="s">
        <v>140</v>
      </c>
      <c r="G82" s="696">
        <f>G7+G23+G39+G55</f>
        <v>1300</v>
      </c>
      <c r="H82" s="668"/>
      <c r="I82" s="698"/>
      <c r="J82" s="668"/>
      <c r="K82" s="668" t="s">
        <v>140</v>
      </c>
      <c r="L82" s="696">
        <f>L7+L23+L39+L55</f>
        <v>1300</v>
      </c>
      <c r="M82" s="668"/>
      <c r="N82" s="698"/>
      <c r="O82" s="668"/>
      <c r="P82" s="668" t="s">
        <v>140</v>
      </c>
      <c r="Q82" s="696">
        <f>Q7+Q23+Q39+Q55</f>
        <v>1300</v>
      </c>
      <c r="U82" s="668" t="s">
        <v>140</v>
      </c>
      <c r="V82" s="696">
        <f>V7+V23+V39+V55</f>
        <v>0</v>
      </c>
      <c r="Z82" s="668" t="s">
        <v>140</v>
      </c>
      <c r="AA82" s="696">
        <f>AA7+AA23+AA39+AA55</f>
        <v>0</v>
      </c>
      <c r="AE82" s="668" t="s">
        <v>140</v>
      </c>
      <c r="AF82" s="696">
        <f>AF7+AF23+AF39+AF55</f>
        <v>0</v>
      </c>
      <c r="AJ82" s="668" t="s">
        <v>140</v>
      </c>
      <c r="AK82" s="696">
        <f>AK7+AK23+AK39+AK55</f>
        <v>0</v>
      </c>
      <c r="AO82" s="668" t="s">
        <v>140</v>
      </c>
      <c r="AP82" s="696">
        <f>AP7+AP23+AP39+AP55</f>
        <v>0</v>
      </c>
    </row>
    <row r="83" spans="1:68" ht="16" thickBot="1"/>
    <row r="84" spans="1:68">
      <c r="A84" s="573"/>
      <c r="B84" s="574"/>
      <c r="C84" s="574"/>
      <c r="D84" s="575"/>
      <c r="F84" s="573"/>
      <c r="G84" s="574"/>
      <c r="H84" s="574"/>
      <c r="I84" s="575"/>
      <c r="K84" s="573"/>
      <c r="L84" s="574"/>
      <c r="M84" s="574"/>
      <c r="N84" s="575"/>
      <c r="P84" s="573"/>
      <c r="Q84" s="574"/>
      <c r="R84" s="574"/>
      <c r="S84" s="575"/>
      <c r="U84" s="573"/>
      <c r="V84" s="574"/>
      <c r="W84" s="574"/>
      <c r="X84" s="575"/>
      <c r="Z84" s="573"/>
      <c r="AA84" s="574"/>
      <c r="AB84" s="574"/>
      <c r="AC84" s="575"/>
      <c r="AE84" s="573"/>
      <c r="AF84" s="574"/>
      <c r="AG84" s="574"/>
      <c r="AH84" s="575"/>
      <c r="AJ84" s="573"/>
      <c r="AK84" s="574"/>
      <c r="AL84" s="574"/>
      <c r="AM84" s="575"/>
      <c r="AO84" s="573"/>
      <c r="AP84" s="574"/>
      <c r="AQ84" s="574"/>
      <c r="AR84" s="575"/>
    </row>
    <row r="85" spans="1:68">
      <c r="A85" s="576" t="s">
        <v>18</v>
      </c>
      <c r="B85" s="577"/>
      <c r="C85" s="699">
        <f>D18+D34+D50+D66+D77</f>
        <v>2909556</v>
      </c>
      <c r="D85" s="579"/>
      <c r="F85" s="576" t="s">
        <v>18</v>
      </c>
      <c r="G85" s="577"/>
      <c r="H85" s="699">
        <f>I18+I34+I50+I66+I77</f>
        <v>1939704</v>
      </c>
      <c r="I85" s="579"/>
      <c r="K85" s="576" t="s">
        <v>18</v>
      </c>
      <c r="L85" s="577"/>
      <c r="M85" s="699">
        <f>N18+N34+N50+N66+N77</f>
        <v>1939704</v>
      </c>
      <c r="N85" s="579"/>
      <c r="P85" s="576" t="s">
        <v>18</v>
      </c>
      <c r="Q85" s="577"/>
      <c r="R85" s="699">
        <f>S18+S34+S50+S66+S77</f>
        <v>1939704</v>
      </c>
      <c r="S85" s="579"/>
      <c r="U85" s="576" t="s">
        <v>18</v>
      </c>
      <c r="V85" s="577"/>
      <c r="W85" s="699">
        <f>X18+X34+X50+X66+X77</f>
        <v>0</v>
      </c>
      <c r="X85" s="579"/>
      <c r="Z85" s="576" t="s">
        <v>18</v>
      </c>
      <c r="AA85" s="577"/>
      <c r="AB85" s="699">
        <f>AC18+AC34+AC50+AC66+AC77</f>
        <v>0</v>
      </c>
      <c r="AC85" s="579"/>
      <c r="AE85" s="576" t="s">
        <v>18</v>
      </c>
      <c r="AF85" s="577"/>
      <c r="AG85" s="699">
        <f>AH18+AH34+AH50+AH66+AH77</f>
        <v>0</v>
      </c>
      <c r="AH85" s="579"/>
      <c r="AJ85" s="576" t="s">
        <v>18</v>
      </c>
      <c r="AK85" s="577"/>
      <c r="AL85" s="699">
        <f>AM18+AM34+AM50+AM66+AM77</f>
        <v>0</v>
      </c>
      <c r="AM85" s="579"/>
      <c r="AO85" s="576" t="s">
        <v>18</v>
      </c>
      <c r="AP85" s="577"/>
      <c r="AQ85" s="699">
        <f>AR18+AR34+AR50+AR66+AR77</f>
        <v>0</v>
      </c>
      <c r="AR85" s="579"/>
    </row>
    <row r="86" spans="1:68">
      <c r="A86" s="580" t="s">
        <v>728</v>
      </c>
      <c r="B86" s="700">
        <f>C86/C85</f>
        <v>0.57423400683815673</v>
      </c>
      <c r="C86" s="701">
        <f>C18+C34+C50+C66+C77</f>
        <v>1670766</v>
      </c>
      <c r="D86" s="579"/>
      <c r="F86" s="580" t="s">
        <v>728</v>
      </c>
      <c r="G86" s="700">
        <f>H86/H85</f>
        <v>0.57423400683815673</v>
      </c>
      <c r="H86" s="701">
        <f>H18+H34+H50+H66+H77</f>
        <v>1113844</v>
      </c>
      <c r="I86" s="579"/>
      <c r="K86" s="580" t="s">
        <v>728</v>
      </c>
      <c r="L86" s="700">
        <f>M86/M85</f>
        <v>0.57423400683815673</v>
      </c>
      <c r="M86" s="701">
        <f>M18+M34+M50+M66+M77</f>
        <v>1113844</v>
      </c>
      <c r="N86" s="579"/>
      <c r="P86" s="580" t="s">
        <v>728</v>
      </c>
      <c r="Q86" s="700">
        <f>L86</f>
        <v>0.57423400683815673</v>
      </c>
      <c r="R86" s="701">
        <f>R18+R34+R50+R66+R77</f>
        <v>1113844</v>
      </c>
      <c r="S86" s="579"/>
      <c r="U86" s="580" t="s">
        <v>728</v>
      </c>
      <c r="V86" s="700">
        <f>Q86</f>
        <v>0.57423400683815673</v>
      </c>
      <c r="W86" s="701">
        <f>W18+W34+W50+W66+W77</f>
        <v>0</v>
      </c>
      <c r="X86" s="579"/>
      <c r="Z86" s="580" t="s">
        <v>728</v>
      </c>
      <c r="AA86" s="700">
        <f>V86</f>
        <v>0.57423400683815673</v>
      </c>
      <c r="AB86" s="701">
        <f>AB18+AB34+AB50+AB66+AB77</f>
        <v>0</v>
      </c>
      <c r="AC86" s="579"/>
      <c r="AE86" s="580" t="s">
        <v>728</v>
      </c>
      <c r="AF86" s="700">
        <f>AA86</f>
        <v>0.57423400683815673</v>
      </c>
      <c r="AG86" s="701">
        <f>AG18+AG34+AG50+AG66+AG77</f>
        <v>0</v>
      </c>
      <c r="AH86" s="579"/>
      <c r="AJ86" s="580" t="s">
        <v>728</v>
      </c>
      <c r="AK86" s="700">
        <f>AF86</f>
        <v>0.57423400683815673</v>
      </c>
      <c r="AL86" s="701">
        <f>AL18+AL34+AL50+AL66+AL77</f>
        <v>0</v>
      </c>
      <c r="AM86" s="579"/>
      <c r="AO86" s="580" t="s">
        <v>728</v>
      </c>
      <c r="AP86" s="700">
        <f>AK86</f>
        <v>0.57423400683815673</v>
      </c>
      <c r="AQ86" s="701">
        <f>AQ18+AQ34+AQ50+AQ66+AQ77</f>
        <v>0</v>
      </c>
      <c r="AR86" s="579"/>
    </row>
    <row r="87" spans="1:68">
      <c r="A87" s="580" t="s">
        <v>870</v>
      </c>
      <c r="B87" s="700">
        <f>'Tatsunoko Inputs'!G12</f>
        <v>0.05</v>
      </c>
      <c r="C87" s="701">
        <f>-ROUND(C86*B87,2)</f>
        <v>-83538.3</v>
      </c>
      <c r="D87" s="579"/>
      <c r="F87" s="580" t="s">
        <v>870</v>
      </c>
      <c r="G87" s="700">
        <f>'Tatsunoko Inputs'!G12</f>
        <v>0.05</v>
      </c>
      <c r="H87" s="701">
        <f>-ROUND(H86*G87,2)</f>
        <v>-55692.2</v>
      </c>
      <c r="I87" s="579"/>
      <c r="K87" s="580" t="s">
        <v>870</v>
      </c>
      <c r="L87" s="700">
        <f>B87</f>
        <v>0.05</v>
      </c>
      <c r="M87" s="701">
        <f>-ROUND(M86*L87,2)</f>
        <v>-55692.2</v>
      </c>
      <c r="N87" s="579"/>
      <c r="P87" s="580" t="s">
        <v>870</v>
      </c>
      <c r="Q87" s="700">
        <f>L87</f>
        <v>0.05</v>
      </c>
      <c r="R87" s="701">
        <f>-ROUND(R86*Q87,2)</f>
        <v>-55692.2</v>
      </c>
      <c r="S87" s="579"/>
      <c r="U87" s="580" t="s">
        <v>870</v>
      </c>
      <c r="V87" s="700">
        <f>Q87</f>
        <v>0.05</v>
      </c>
      <c r="W87" s="701">
        <f>-ROUND(W86*V87,2)</f>
        <v>0</v>
      </c>
      <c r="X87" s="579"/>
      <c r="Z87" s="580" t="s">
        <v>870</v>
      </c>
      <c r="AA87" s="700">
        <f>V87</f>
        <v>0.05</v>
      </c>
      <c r="AB87" s="701">
        <f>-ROUND(AB86*AA87,2)</f>
        <v>0</v>
      </c>
      <c r="AC87" s="579"/>
      <c r="AE87" s="580" t="s">
        <v>870</v>
      </c>
      <c r="AF87" s="700">
        <f>AA87</f>
        <v>0.05</v>
      </c>
      <c r="AG87" s="701">
        <f>-ROUND(AG86*AF87,2)</f>
        <v>0</v>
      </c>
      <c r="AH87" s="579"/>
      <c r="AJ87" s="580" t="s">
        <v>870</v>
      </c>
      <c r="AK87" s="700">
        <f>AF87</f>
        <v>0.05</v>
      </c>
      <c r="AL87" s="701">
        <f>-ROUND(AL86*AK87,2)</f>
        <v>0</v>
      </c>
      <c r="AM87" s="579"/>
      <c r="AO87" s="580" t="s">
        <v>870</v>
      </c>
      <c r="AP87" s="700">
        <f>AK87</f>
        <v>0.05</v>
      </c>
      <c r="AQ87" s="701">
        <f>-ROUND(AQ86*AP87,2)</f>
        <v>0</v>
      </c>
      <c r="AR87" s="579"/>
    </row>
    <row r="88" spans="1:68">
      <c r="A88" s="580" t="s">
        <v>730</v>
      </c>
      <c r="B88" s="700"/>
      <c r="C88" s="702">
        <f>C86+C87</f>
        <v>1587227.7</v>
      </c>
      <c r="D88" s="579"/>
      <c r="F88" s="580" t="s">
        <v>730</v>
      </c>
      <c r="G88" s="700"/>
      <c r="H88" s="702">
        <f>H86+H87</f>
        <v>1058151.8</v>
      </c>
      <c r="I88" s="579"/>
      <c r="K88" s="580" t="s">
        <v>730</v>
      </c>
      <c r="L88" s="700"/>
      <c r="M88" s="702">
        <f>M86+M87</f>
        <v>1058151.8</v>
      </c>
      <c r="N88" s="579"/>
      <c r="P88" s="580" t="s">
        <v>730</v>
      </c>
      <c r="Q88" s="700"/>
      <c r="R88" s="702">
        <f>R86+R87</f>
        <v>1058151.8</v>
      </c>
      <c r="S88" s="579"/>
      <c r="U88" s="580" t="s">
        <v>730</v>
      </c>
      <c r="V88" s="700"/>
      <c r="W88" s="702">
        <f>W86+W87</f>
        <v>0</v>
      </c>
      <c r="X88" s="579"/>
      <c r="Z88" s="580" t="s">
        <v>730</v>
      </c>
      <c r="AA88" s="700"/>
      <c r="AB88" s="702">
        <f>AB86+AB87</f>
        <v>0</v>
      </c>
      <c r="AC88" s="579"/>
      <c r="AE88" s="580" t="s">
        <v>730</v>
      </c>
      <c r="AF88" s="700"/>
      <c r="AG88" s="702">
        <f>AG86+AG87</f>
        <v>0</v>
      </c>
      <c r="AH88" s="579"/>
      <c r="AJ88" s="580" t="s">
        <v>730</v>
      </c>
      <c r="AK88" s="700"/>
      <c r="AL88" s="702">
        <f>AL86+AL87</f>
        <v>0</v>
      </c>
      <c r="AM88" s="579"/>
      <c r="AO88" s="580" t="s">
        <v>730</v>
      </c>
      <c r="AP88" s="700"/>
      <c r="AQ88" s="702">
        <f>AQ86+AQ87</f>
        <v>0</v>
      </c>
      <c r="AR88" s="579"/>
    </row>
    <row r="89" spans="1:68">
      <c r="A89" s="580" t="s">
        <v>729</v>
      </c>
      <c r="B89" s="700">
        <f>'Tatsunoko Inputs'!G14</f>
        <v>0.5</v>
      </c>
      <c r="C89" s="701">
        <f>-ROUND(C88*B89,2)</f>
        <v>-793613.85</v>
      </c>
      <c r="D89" s="584"/>
      <c r="F89" s="580" t="s">
        <v>729</v>
      </c>
      <c r="G89" s="700">
        <f>'Tatsunoko Inputs'!G14</f>
        <v>0.5</v>
      </c>
      <c r="H89" s="701">
        <f>-ROUND(H88*G89,2)</f>
        <v>-529075.9</v>
      </c>
      <c r="I89" s="584"/>
      <c r="K89" s="580" t="s">
        <v>729</v>
      </c>
      <c r="L89" s="700">
        <f>B89</f>
        <v>0.5</v>
      </c>
      <c r="M89" s="701">
        <f>-ROUND(M88*L89,2)</f>
        <v>-529075.9</v>
      </c>
      <c r="N89" s="584"/>
      <c r="P89" s="580" t="s">
        <v>729</v>
      </c>
      <c r="Q89" s="700">
        <f>L89</f>
        <v>0.5</v>
      </c>
      <c r="R89" s="701">
        <f>-ROUND(R88*Q89,2)</f>
        <v>-529075.9</v>
      </c>
      <c r="S89" s="584"/>
      <c r="U89" s="580" t="s">
        <v>729</v>
      </c>
      <c r="V89" s="700">
        <f>Q89</f>
        <v>0.5</v>
      </c>
      <c r="W89" s="701">
        <f>-ROUND(W88*V89,2)</f>
        <v>0</v>
      </c>
      <c r="X89" s="584"/>
      <c r="Z89" s="580" t="s">
        <v>729</v>
      </c>
      <c r="AA89" s="700">
        <f>V89</f>
        <v>0.5</v>
      </c>
      <c r="AB89" s="701">
        <f>-ROUND(AB88*AA89,2)</f>
        <v>0</v>
      </c>
      <c r="AC89" s="584"/>
      <c r="AE89" s="580" t="s">
        <v>729</v>
      </c>
      <c r="AF89" s="700">
        <f>AA89</f>
        <v>0.5</v>
      </c>
      <c r="AG89" s="701">
        <f>-ROUND(AG88*AF89,2)</f>
        <v>0</v>
      </c>
      <c r="AH89" s="584"/>
      <c r="AJ89" s="580" t="s">
        <v>729</v>
      </c>
      <c r="AK89" s="700">
        <f>AF89</f>
        <v>0.5</v>
      </c>
      <c r="AL89" s="701">
        <f>-ROUND(AL88*AK89,2)</f>
        <v>0</v>
      </c>
      <c r="AM89" s="584"/>
      <c r="AO89" s="580" t="s">
        <v>729</v>
      </c>
      <c r="AP89" s="700">
        <f>AK89</f>
        <v>0.5</v>
      </c>
      <c r="AQ89" s="701">
        <f>-ROUND(AQ88*AP89,2)</f>
        <v>0</v>
      </c>
      <c r="AR89" s="584"/>
    </row>
    <row r="90" spans="1:68" ht="16" thickBot="1">
      <c r="A90" s="580" t="s">
        <v>5</v>
      </c>
      <c r="B90" s="585"/>
      <c r="C90" s="703">
        <f>SUM(C88:C89)</f>
        <v>793613.85</v>
      </c>
      <c r="D90" s="579"/>
      <c r="F90" s="580" t="s">
        <v>5</v>
      </c>
      <c r="G90" s="585"/>
      <c r="H90" s="703">
        <f>SUM(H88:H89)</f>
        <v>529075.9</v>
      </c>
      <c r="I90" s="579"/>
      <c r="K90" s="580" t="s">
        <v>5</v>
      </c>
      <c r="L90" s="585"/>
      <c r="M90" s="703">
        <f>SUM(M88:M89)</f>
        <v>529075.9</v>
      </c>
      <c r="N90" s="579"/>
      <c r="P90" s="580" t="s">
        <v>5</v>
      </c>
      <c r="Q90" s="585"/>
      <c r="R90" s="703">
        <f>SUM(R88:R89)</f>
        <v>529075.9</v>
      </c>
      <c r="S90" s="579"/>
      <c r="U90" s="580" t="s">
        <v>5</v>
      </c>
      <c r="V90" s="585"/>
      <c r="W90" s="703">
        <f>SUM(W88:W89)</f>
        <v>0</v>
      </c>
      <c r="X90" s="579"/>
      <c r="Z90" s="580" t="s">
        <v>5</v>
      </c>
      <c r="AA90" s="585"/>
      <c r="AB90" s="703">
        <f>SUM(AB88:AB89)</f>
        <v>0</v>
      </c>
      <c r="AC90" s="579"/>
      <c r="AE90" s="580" t="s">
        <v>5</v>
      </c>
      <c r="AF90" s="585"/>
      <c r="AG90" s="703">
        <f>SUM(AG88:AG89)</f>
        <v>0</v>
      </c>
      <c r="AH90" s="579"/>
      <c r="AJ90" s="580" t="s">
        <v>5</v>
      </c>
      <c r="AK90" s="585"/>
      <c r="AL90" s="703">
        <f>SUM(AL88:AL89)</f>
        <v>0</v>
      </c>
      <c r="AM90" s="579"/>
      <c r="AO90" s="580" t="s">
        <v>5</v>
      </c>
      <c r="AP90" s="585"/>
      <c r="AQ90" s="703">
        <f>SUM(AQ88:AQ89)</f>
        <v>0</v>
      </c>
      <c r="AR90" s="579"/>
    </row>
    <row r="91" spans="1:68" ht="17" thickTop="1" thickBot="1">
      <c r="A91" s="587"/>
      <c r="B91" s="588"/>
      <c r="C91" s="588"/>
      <c r="D91" s="589"/>
      <c r="F91" s="587"/>
      <c r="G91" s="588"/>
      <c r="H91" s="588"/>
      <c r="I91" s="589"/>
      <c r="K91" s="587"/>
      <c r="L91" s="588"/>
      <c r="M91" s="588"/>
      <c r="N91" s="589"/>
      <c r="P91" s="587"/>
      <c r="Q91" s="588"/>
      <c r="R91" s="588"/>
      <c r="S91" s="589"/>
      <c r="U91" s="587"/>
      <c r="V91" s="588"/>
      <c r="W91" s="588"/>
      <c r="X91" s="589"/>
      <c r="Z91" s="587"/>
      <c r="AA91" s="588"/>
      <c r="AB91" s="588"/>
      <c r="AC91" s="589"/>
      <c r="AE91" s="587"/>
      <c r="AF91" s="588"/>
      <c r="AG91" s="588"/>
      <c r="AH91" s="589"/>
      <c r="AJ91" s="587"/>
      <c r="AK91" s="588"/>
      <c r="AL91" s="588"/>
      <c r="AM91" s="589"/>
      <c r="AO91" s="587"/>
      <c r="AP91" s="588"/>
      <c r="AQ91" s="588"/>
      <c r="AR91" s="589"/>
    </row>
    <row r="92" spans="1:68">
      <c r="A92" s="543"/>
      <c r="B92" s="556"/>
      <c r="C92" s="556"/>
      <c r="D92" s="543"/>
      <c r="F92" s="543"/>
      <c r="G92" s="556"/>
      <c r="H92" s="556"/>
      <c r="I92" s="543"/>
      <c r="K92" s="543"/>
      <c r="L92" s="556"/>
      <c r="M92" s="556"/>
      <c r="N92" s="543"/>
      <c r="P92" s="543"/>
      <c r="Q92" s="556"/>
      <c r="R92" s="556"/>
      <c r="S92" s="543"/>
      <c r="U92" s="543"/>
      <c r="V92" s="556"/>
      <c r="W92" s="556"/>
      <c r="X92" s="543"/>
      <c r="Z92" s="543"/>
      <c r="AA92" s="556"/>
      <c r="AB92" s="556"/>
      <c r="AC92" s="543"/>
      <c r="AE92" s="543"/>
      <c r="AF92" s="556"/>
      <c r="AG92" s="556"/>
      <c r="AH92" s="543"/>
      <c r="AJ92" s="543"/>
      <c r="AK92" s="556"/>
      <c r="AL92" s="556"/>
      <c r="AM92" s="543"/>
      <c r="AO92" s="543"/>
      <c r="AP92" s="556"/>
      <c r="AQ92" s="556"/>
      <c r="AR92" s="543"/>
    </row>
    <row r="93" spans="1:68">
      <c r="J93" s="677"/>
      <c r="K93" s="677"/>
      <c r="L93" s="677"/>
      <c r="M93" s="677"/>
      <c r="P93" s="677"/>
    </row>
    <row r="94" spans="1:68" ht="16" thickBot="1">
      <c r="I94" s="677"/>
      <c r="J94" s="677"/>
      <c r="K94" s="677"/>
      <c r="L94" s="677"/>
      <c r="M94" s="677" t="s">
        <v>1040</v>
      </c>
      <c r="N94" s="677"/>
      <c r="P94" s="677"/>
    </row>
    <row r="95" spans="1:68" ht="13.5" customHeight="1">
      <c r="A95" s="704"/>
      <c r="B95" s="704"/>
      <c r="C95" s="705">
        <v>46023</v>
      </c>
      <c r="D95" s="705">
        <v>46054</v>
      </c>
      <c r="E95" s="705">
        <v>46082</v>
      </c>
      <c r="F95" s="705">
        <v>46113</v>
      </c>
      <c r="G95" s="705">
        <v>46143</v>
      </c>
      <c r="H95" s="705">
        <v>46174</v>
      </c>
      <c r="I95" s="705">
        <v>46204</v>
      </c>
      <c r="J95" s="705">
        <v>46235</v>
      </c>
      <c r="K95" s="705">
        <v>46266</v>
      </c>
      <c r="L95" s="705">
        <v>46296</v>
      </c>
      <c r="M95" s="705">
        <v>46327</v>
      </c>
      <c r="N95" s="705">
        <v>46357</v>
      </c>
      <c r="O95" s="704">
        <v>2026</v>
      </c>
      <c r="P95" s="705">
        <v>46388</v>
      </c>
      <c r="Q95" s="705">
        <v>46419</v>
      </c>
      <c r="R95" s="705">
        <v>46447</v>
      </c>
      <c r="S95" s="705">
        <v>46478</v>
      </c>
      <c r="T95" s="705">
        <v>46508</v>
      </c>
      <c r="U95" s="705">
        <v>46539</v>
      </c>
      <c r="V95" s="705">
        <v>46569</v>
      </c>
      <c r="W95" s="705">
        <v>46600</v>
      </c>
      <c r="X95" s="705">
        <v>46631</v>
      </c>
      <c r="Y95" s="705">
        <v>46661</v>
      </c>
      <c r="Z95" s="705">
        <v>46692</v>
      </c>
      <c r="AA95" s="705">
        <v>46722</v>
      </c>
      <c r="AB95" s="704">
        <v>2027</v>
      </c>
      <c r="AC95" s="705">
        <v>46753</v>
      </c>
      <c r="AD95" s="705">
        <v>46784</v>
      </c>
      <c r="AE95" s="705">
        <v>46813</v>
      </c>
      <c r="AF95" s="705">
        <v>46844</v>
      </c>
      <c r="AG95" s="705">
        <v>46874</v>
      </c>
      <c r="AH95" s="705">
        <v>46905</v>
      </c>
      <c r="AI95" s="705">
        <v>46935</v>
      </c>
      <c r="AJ95" s="705">
        <v>46966</v>
      </c>
      <c r="AK95" s="705">
        <v>46997</v>
      </c>
      <c r="AL95" s="705">
        <v>47027</v>
      </c>
      <c r="AM95" s="705">
        <v>47058</v>
      </c>
      <c r="AN95" s="705">
        <v>47088</v>
      </c>
      <c r="AO95" s="704">
        <v>2028</v>
      </c>
      <c r="AP95" s="705">
        <v>47119</v>
      </c>
      <c r="AQ95" s="705">
        <v>47150</v>
      </c>
      <c r="AR95" s="705">
        <v>47178</v>
      </c>
      <c r="AS95" s="705">
        <v>47209</v>
      </c>
      <c r="AT95" s="705">
        <v>47239</v>
      </c>
      <c r="AU95" s="705">
        <v>47270</v>
      </c>
      <c r="AV95" s="705">
        <v>47300</v>
      </c>
      <c r="AW95" s="705">
        <v>47331</v>
      </c>
      <c r="AX95" s="705">
        <v>47362</v>
      </c>
      <c r="AY95" s="705">
        <v>47392</v>
      </c>
      <c r="AZ95" s="705">
        <v>47423</v>
      </c>
      <c r="BA95" s="705">
        <v>47453</v>
      </c>
      <c r="BB95" s="706">
        <v>2029</v>
      </c>
      <c r="BC95" s="705">
        <v>47484</v>
      </c>
      <c r="BD95" s="705">
        <v>47515</v>
      </c>
      <c r="BE95" s="705">
        <v>47543</v>
      </c>
      <c r="BF95" s="705">
        <v>47574</v>
      </c>
      <c r="BG95" s="705">
        <v>47604</v>
      </c>
      <c r="BH95" s="705">
        <v>47635</v>
      </c>
      <c r="BI95" s="705">
        <v>47665</v>
      </c>
      <c r="BJ95" s="705">
        <v>47696</v>
      </c>
      <c r="BK95" s="705">
        <v>47727</v>
      </c>
      <c r="BL95" s="705">
        <v>47757</v>
      </c>
      <c r="BM95" s="705">
        <v>47788</v>
      </c>
      <c r="BN95" s="705">
        <v>47818</v>
      </c>
      <c r="BO95" s="706">
        <v>2030</v>
      </c>
      <c r="BP95" s="707"/>
    </row>
    <row r="96" spans="1:68" ht="13.5" customHeight="1">
      <c r="A96" s="708"/>
      <c r="B96" s="708"/>
      <c r="C96" s="709" t="s">
        <v>49</v>
      </c>
      <c r="D96" s="709" t="s">
        <v>50</v>
      </c>
      <c r="E96" s="709" t="s">
        <v>51</v>
      </c>
      <c r="F96" s="709" t="s">
        <v>52</v>
      </c>
      <c r="G96" s="709" t="s">
        <v>53</v>
      </c>
      <c r="H96" s="709" t="s">
        <v>54</v>
      </c>
      <c r="I96" s="709" t="s">
        <v>55</v>
      </c>
      <c r="J96" s="709" t="s">
        <v>56</v>
      </c>
      <c r="K96" s="709" t="s">
        <v>57</v>
      </c>
      <c r="L96" s="709" t="s">
        <v>58</v>
      </c>
      <c r="M96" s="709" t="s">
        <v>59</v>
      </c>
      <c r="N96" s="709" t="s">
        <v>60</v>
      </c>
      <c r="O96" s="710" t="s">
        <v>65</v>
      </c>
      <c r="P96" s="709" t="s">
        <v>291</v>
      </c>
      <c r="Q96" s="709" t="s">
        <v>308</v>
      </c>
      <c r="R96" s="709" t="s">
        <v>309</v>
      </c>
      <c r="S96" s="709" t="s">
        <v>310</v>
      </c>
      <c r="T96" s="709" t="s">
        <v>311</v>
      </c>
      <c r="U96" s="709" t="s">
        <v>312</v>
      </c>
      <c r="V96" s="709" t="s">
        <v>313</v>
      </c>
      <c r="W96" s="709" t="s">
        <v>314</v>
      </c>
      <c r="X96" s="709" t="s">
        <v>315</v>
      </c>
      <c r="Y96" s="709" t="s">
        <v>316</v>
      </c>
      <c r="Z96" s="709" t="s">
        <v>317</v>
      </c>
      <c r="AA96" s="709" t="s">
        <v>318</v>
      </c>
      <c r="AB96" s="711" t="s">
        <v>121</v>
      </c>
      <c r="AC96" s="709" t="s">
        <v>319</v>
      </c>
      <c r="AD96" s="709" t="s">
        <v>320</v>
      </c>
      <c r="AE96" s="709" t="s">
        <v>321</v>
      </c>
      <c r="AF96" s="709" t="s">
        <v>322</v>
      </c>
      <c r="AG96" s="709" t="s">
        <v>323</v>
      </c>
      <c r="AH96" s="709" t="s">
        <v>324</v>
      </c>
      <c r="AI96" s="709" t="s">
        <v>325</v>
      </c>
      <c r="AJ96" s="709" t="s">
        <v>326</v>
      </c>
      <c r="AK96" s="709" t="s">
        <v>327</v>
      </c>
      <c r="AL96" s="709" t="s">
        <v>328</v>
      </c>
      <c r="AM96" s="709" t="s">
        <v>329</v>
      </c>
      <c r="AN96" s="709" t="s">
        <v>330</v>
      </c>
      <c r="AO96" s="711" t="s">
        <v>122</v>
      </c>
      <c r="AP96" s="712" t="s">
        <v>331</v>
      </c>
      <c r="AQ96" s="712" t="s">
        <v>332</v>
      </c>
      <c r="AR96" s="712" t="s">
        <v>333</v>
      </c>
      <c r="AS96" s="712" t="s">
        <v>334</v>
      </c>
      <c r="AT96" s="712" t="s">
        <v>335</v>
      </c>
      <c r="AU96" s="712" t="s">
        <v>336</v>
      </c>
      <c r="AV96" s="712" t="s">
        <v>337</v>
      </c>
      <c r="AW96" s="712" t="s">
        <v>338</v>
      </c>
      <c r="AX96" s="712" t="s">
        <v>339</v>
      </c>
      <c r="AY96" s="712" t="s">
        <v>340</v>
      </c>
      <c r="AZ96" s="712" t="s">
        <v>341</v>
      </c>
      <c r="BA96" s="712" t="s">
        <v>342</v>
      </c>
      <c r="BB96" s="711" t="s">
        <v>123</v>
      </c>
      <c r="BC96" s="712" t="s">
        <v>343</v>
      </c>
      <c r="BD96" s="712" t="s">
        <v>344</v>
      </c>
      <c r="BE96" s="712" t="s">
        <v>345</v>
      </c>
      <c r="BF96" s="712" t="s">
        <v>346</v>
      </c>
      <c r="BG96" s="712" t="s">
        <v>347</v>
      </c>
      <c r="BH96" s="712" t="s">
        <v>348</v>
      </c>
      <c r="BI96" s="712" t="s">
        <v>349</v>
      </c>
      <c r="BJ96" s="712" t="s">
        <v>350</v>
      </c>
      <c r="BK96" s="712" t="s">
        <v>351</v>
      </c>
      <c r="BL96" s="712" t="s">
        <v>352</v>
      </c>
      <c r="BM96" s="712" t="s">
        <v>353</v>
      </c>
      <c r="BN96" s="712" t="s">
        <v>354</v>
      </c>
      <c r="BO96" s="711" t="s">
        <v>124</v>
      </c>
      <c r="BP96" s="713" t="s">
        <v>125</v>
      </c>
    </row>
    <row r="97" spans="1:68" ht="13.5" customHeight="1">
      <c r="A97" s="714" t="s">
        <v>20</v>
      </c>
      <c r="B97" s="714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6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6"/>
      <c r="AC97" s="715"/>
      <c r="AD97" s="715"/>
      <c r="AE97" s="715"/>
      <c r="AF97" s="715"/>
      <c r="AG97" s="715"/>
      <c r="AH97" s="715"/>
      <c r="AI97" s="715"/>
      <c r="AJ97" s="715"/>
      <c r="AK97" s="715"/>
      <c r="AL97" s="715"/>
      <c r="AM97" s="715"/>
      <c r="AN97" s="715"/>
      <c r="AO97" s="716"/>
      <c r="AP97" s="717"/>
      <c r="AQ97" s="717"/>
      <c r="AR97" s="717"/>
      <c r="AS97" s="717"/>
      <c r="AT97" s="717"/>
      <c r="AU97" s="717"/>
      <c r="AV97" s="717"/>
      <c r="AW97" s="717"/>
      <c r="AX97" s="717"/>
      <c r="AY97" s="717"/>
      <c r="AZ97" s="717"/>
      <c r="BA97" s="717"/>
      <c r="BB97" s="718"/>
      <c r="BC97" s="717"/>
      <c r="BD97" s="717"/>
      <c r="BE97" s="717"/>
      <c r="BF97" s="717"/>
      <c r="BG97" s="717"/>
      <c r="BH97" s="717"/>
      <c r="BI97" s="717"/>
      <c r="BJ97" s="717"/>
      <c r="BK97" s="717"/>
      <c r="BL97" s="717"/>
      <c r="BM97" s="717"/>
      <c r="BN97" s="717"/>
      <c r="BO97" s="718"/>
      <c r="BP97" s="719"/>
    </row>
    <row r="98" spans="1:68" ht="13.5" customHeight="1" thickBot="1">
      <c r="A98" s="720" t="s">
        <v>871</v>
      </c>
      <c r="B98" s="721"/>
      <c r="C98" s="722">
        <v>0</v>
      </c>
      <c r="D98" s="722">
        <v>0</v>
      </c>
      <c r="E98" s="723">
        <v>0</v>
      </c>
      <c r="F98" s="722">
        <v>0</v>
      </c>
      <c r="G98" s="722">
        <v>0</v>
      </c>
      <c r="H98" s="722">
        <v>0</v>
      </c>
      <c r="I98" s="722">
        <v>0</v>
      </c>
      <c r="J98" s="976">
        <v>0</v>
      </c>
      <c r="K98" s="722">
        <v>0</v>
      </c>
      <c r="L98" s="723">
        <v>0</v>
      </c>
      <c r="M98" s="722">
        <v>0</v>
      </c>
      <c r="N98" s="722"/>
      <c r="O98" s="724">
        <f t="shared" ref="O98:O101" si="0">SUM(C98:N98)</f>
        <v>0</v>
      </c>
      <c r="P98" s="722">
        <v>0</v>
      </c>
      <c r="Q98" s="722">
        <v>0</v>
      </c>
      <c r="R98" s="722">
        <v>0</v>
      </c>
      <c r="S98" s="723">
        <v>0</v>
      </c>
      <c r="T98" s="722">
        <v>0</v>
      </c>
      <c r="U98" s="722">
        <v>0</v>
      </c>
      <c r="V98" s="722">
        <f>C88</f>
        <v>1587227.7</v>
      </c>
      <c r="W98" s="722">
        <v>0</v>
      </c>
      <c r="X98" s="723">
        <v>0</v>
      </c>
      <c r="Y98" s="722">
        <v>0</v>
      </c>
      <c r="Z98" s="722">
        <v>0</v>
      </c>
      <c r="AA98" s="722">
        <v>0</v>
      </c>
      <c r="AB98" s="724">
        <f t="shared" ref="AB98:AB101" si="1">SUM(P98:AA98)</f>
        <v>1587227.7</v>
      </c>
      <c r="AC98" s="722">
        <v>0</v>
      </c>
      <c r="AD98" s="722">
        <v>0</v>
      </c>
      <c r="AE98" s="723">
        <v>0</v>
      </c>
      <c r="AF98" s="722">
        <v>0</v>
      </c>
      <c r="AG98" s="722">
        <v>0</v>
      </c>
      <c r="AH98" s="722">
        <v>0</v>
      </c>
      <c r="AI98" s="722">
        <f>H88</f>
        <v>1058151.8</v>
      </c>
      <c r="AJ98" s="722">
        <v>0</v>
      </c>
      <c r="AK98" s="722">
        <v>0</v>
      </c>
      <c r="AL98" s="722">
        <v>0</v>
      </c>
      <c r="AM98" s="722">
        <v>0</v>
      </c>
      <c r="AN98" s="722">
        <v>0</v>
      </c>
      <c r="AO98" s="724">
        <f>SUM(AC98:AN98)</f>
        <v>1058151.8</v>
      </c>
      <c r="AP98" s="722">
        <f>AQ88</f>
        <v>0</v>
      </c>
      <c r="AQ98" s="722">
        <v>0</v>
      </c>
      <c r="AR98" s="722">
        <v>0</v>
      </c>
      <c r="AS98" s="722">
        <f>W88</f>
        <v>0</v>
      </c>
      <c r="AT98" s="722">
        <v>0</v>
      </c>
      <c r="AU98" s="722">
        <v>0</v>
      </c>
      <c r="AV98" s="722">
        <f>M88</f>
        <v>1058151.8</v>
      </c>
      <c r="AW98" s="722">
        <v>0</v>
      </c>
      <c r="AX98" s="722">
        <v>0</v>
      </c>
      <c r="AY98" s="722">
        <f>AB88</f>
        <v>0</v>
      </c>
      <c r="AZ98" s="725">
        <v>0</v>
      </c>
      <c r="BA98" s="722">
        <v>0</v>
      </c>
      <c r="BB98" s="724">
        <f t="shared" ref="BB98:BB101" si="2">SUM(AP98:BA98)</f>
        <v>1058151.8</v>
      </c>
      <c r="BC98" s="722">
        <f>AQ88</f>
        <v>0</v>
      </c>
      <c r="BD98" s="722">
        <v>0</v>
      </c>
      <c r="BE98" s="722">
        <v>0</v>
      </c>
      <c r="BF98" s="722">
        <v>0</v>
      </c>
      <c r="BG98" s="722">
        <v>0</v>
      </c>
      <c r="BH98" s="722">
        <v>0</v>
      </c>
      <c r="BI98" s="722">
        <f>R88</f>
        <v>1058151.8</v>
      </c>
      <c r="BJ98" s="722">
        <v>0</v>
      </c>
      <c r="BK98" s="722">
        <v>0</v>
      </c>
      <c r="BL98" s="722">
        <f>AL88</f>
        <v>0</v>
      </c>
      <c r="BM98" s="725">
        <v>0</v>
      </c>
      <c r="BN98" s="722">
        <f>AQ88</f>
        <v>0</v>
      </c>
      <c r="BO98" s="724">
        <f t="shared" ref="BO98:BO101" si="3">SUM(BC98:BN98)</f>
        <v>1058151.8</v>
      </c>
      <c r="BP98" s="726">
        <f>O98+AB98+AO98+BB98+BO98</f>
        <v>4761683.0999999996</v>
      </c>
    </row>
    <row r="99" spans="1:68" ht="13.5" customHeight="1" thickBot="1">
      <c r="A99" s="720" t="s">
        <v>72</v>
      </c>
      <c r="B99" s="721"/>
      <c r="C99" s="722"/>
      <c r="D99" s="722"/>
      <c r="E99" s="723">
        <v>0</v>
      </c>
      <c r="F99" s="722">
        <v>0</v>
      </c>
      <c r="G99" s="722">
        <v>0</v>
      </c>
      <c r="H99" s="722">
        <v>0</v>
      </c>
      <c r="I99" s="722">
        <v>0</v>
      </c>
      <c r="J99" s="722">
        <v>0</v>
      </c>
      <c r="K99" s="722">
        <v>0</v>
      </c>
      <c r="L99" s="722">
        <v>0</v>
      </c>
      <c r="M99" s="722">
        <v>0</v>
      </c>
      <c r="N99" s="722"/>
      <c r="O99" s="724">
        <f t="shared" si="0"/>
        <v>0</v>
      </c>
      <c r="P99" s="722">
        <v>0</v>
      </c>
      <c r="Q99" s="722"/>
      <c r="R99" s="722">
        <v>0</v>
      </c>
      <c r="S99" s="723">
        <v>0</v>
      </c>
      <c r="T99" s="722">
        <v>0</v>
      </c>
      <c r="U99" s="722">
        <v>0</v>
      </c>
      <c r="V99" s="722">
        <f>-C89</f>
        <v>793613.85</v>
      </c>
      <c r="W99" s="722"/>
      <c r="X99" s="723">
        <v>0</v>
      </c>
      <c r="Y99" s="722">
        <v>0</v>
      </c>
      <c r="Z99" s="722">
        <v>0</v>
      </c>
      <c r="AA99" s="722">
        <v>0</v>
      </c>
      <c r="AB99" s="724">
        <f t="shared" si="1"/>
        <v>793613.85</v>
      </c>
      <c r="AC99" s="722">
        <v>0</v>
      </c>
      <c r="AD99" s="722">
        <v>0</v>
      </c>
      <c r="AE99" s="723">
        <v>0</v>
      </c>
      <c r="AF99" s="722">
        <v>0</v>
      </c>
      <c r="AG99" s="722">
        <v>0</v>
      </c>
      <c r="AH99" s="722">
        <v>0</v>
      </c>
      <c r="AI99" s="722">
        <f>-H89</f>
        <v>529075.9</v>
      </c>
      <c r="AJ99" s="722"/>
      <c r="AK99" s="722"/>
      <c r="AL99" s="722">
        <v>0</v>
      </c>
      <c r="AM99" s="722">
        <v>0</v>
      </c>
      <c r="AN99" s="722"/>
      <c r="AO99" s="724">
        <f>SUM(AC99:AN99)</f>
        <v>529075.9</v>
      </c>
      <c r="AP99" s="722">
        <f>-AQ89</f>
        <v>0</v>
      </c>
      <c r="AQ99" s="722">
        <v>0</v>
      </c>
      <c r="AR99" s="722"/>
      <c r="AS99" s="722">
        <f>-W89</f>
        <v>0</v>
      </c>
      <c r="AT99" s="722"/>
      <c r="AU99" s="722"/>
      <c r="AV99" s="722">
        <f>-M89</f>
        <v>529075.9</v>
      </c>
      <c r="AW99" s="722"/>
      <c r="AX99" s="722"/>
      <c r="AY99" s="722">
        <f>-AB89</f>
        <v>0</v>
      </c>
      <c r="AZ99" s="725"/>
      <c r="BA99" s="722"/>
      <c r="BB99" s="724">
        <f t="shared" si="2"/>
        <v>529075.9</v>
      </c>
      <c r="BC99" s="722">
        <f>-AQ89</f>
        <v>0</v>
      </c>
      <c r="BD99" s="722"/>
      <c r="BE99" s="722"/>
      <c r="BF99" s="722"/>
      <c r="BG99" s="722"/>
      <c r="BH99" s="722"/>
      <c r="BI99" s="722">
        <f>-R89</f>
        <v>529075.9</v>
      </c>
      <c r="BJ99" s="722"/>
      <c r="BK99" s="722"/>
      <c r="BL99" s="722">
        <f>-AL89</f>
        <v>0</v>
      </c>
      <c r="BM99" s="725"/>
      <c r="BN99" s="722">
        <f>-AQ89</f>
        <v>0</v>
      </c>
      <c r="BO99" s="724">
        <f t="shared" si="3"/>
        <v>529075.9</v>
      </c>
      <c r="BP99" s="726">
        <f>O99+AB99+AO99+BB99+BO99</f>
        <v>2380841.5499999998</v>
      </c>
    </row>
    <row r="100" spans="1:68" ht="13.5" customHeight="1" thickBot="1">
      <c r="A100" s="720" t="s">
        <v>73</v>
      </c>
      <c r="B100" s="727">
        <f>'Tatsunoko Inputs'!G13</f>
        <v>0.01</v>
      </c>
      <c r="C100" s="722">
        <f>C98*$B$100</f>
        <v>0</v>
      </c>
      <c r="D100" s="722">
        <f t="shared" ref="D100:N100" si="4">D98*$B$100</f>
        <v>0</v>
      </c>
      <c r="E100" s="722">
        <f t="shared" si="4"/>
        <v>0</v>
      </c>
      <c r="F100" s="722">
        <f t="shared" si="4"/>
        <v>0</v>
      </c>
      <c r="G100" s="722">
        <f t="shared" si="4"/>
        <v>0</v>
      </c>
      <c r="H100" s="722">
        <f t="shared" si="4"/>
        <v>0</v>
      </c>
      <c r="I100" s="722">
        <f t="shared" si="4"/>
        <v>0</v>
      </c>
      <c r="J100" s="722">
        <f t="shared" si="4"/>
        <v>0</v>
      </c>
      <c r="K100" s="722">
        <f t="shared" si="4"/>
        <v>0</v>
      </c>
      <c r="L100" s="722">
        <f t="shared" si="4"/>
        <v>0</v>
      </c>
      <c r="M100" s="722">
        <f t="shared" si="4"/>
        <v>0</v>
      </c>
      <c r="N100" s="722">
        <f t="shared" si="4"/>
        <v>0</v>
      </c>
      <c r="O100" s="724">
        <f t="shared" si="0"/>
        <v>0</v>
      </c>
      <c r="P100" s="722">
        <f>P98*$B$100</f>
        <v>0</v>
      </c>
      <c r="Q100" s="722">
        <f t="shared" ref="Q100:AA100" si="5">Q98*$B$100</f>
        <v>0</v>
      </c>
      <c r="R100" s="722">
        <f t="shared" si="5"/>
        <v>0</v>
      </c>
      <c r="S100" s="722">
        <f t="shared" si="5"/>
        <v>0</v>
      </c>
      <c r="T100" s="722">
        <f t="shared" si="5"/>
        <v>0</v>
      </c>
      <c r="U100" s="722">
        <f t="shared" si="5"/>
        <v>0</v>
      </c>
      <c r="V100" s="722">
        <f t="shared" si="5"/>
        <v>15872.277</v>
      </c>
      <c r="W100" s="722">
        <f t="shared" si="5"/>
        <v>0</v>
      </c>
      <c r="X100" s="722">
        <f t="shared" si="5"/>
        <v>0</v>
      </c>
      <c r="Y100" s="722">
        <f t="shared" si="5"/>
        <v>0</v>
      </c>
      <c r="Z100" s="722">
        <f t="shared" si="5"/>
        <v>0</v>
      </c>
      <c r="AA100" s="722">
        <f t="shared" si="5"/>
        <v>0</v>
      </c>
      <c r="AB100" s="724">
        <f t="shared" si="1"/>
        <v>15872.277</v>
      </c>
      <c r="AC100" s="722">
        <f>AC98*$B$100</f>
        <v>0</v>
      </c>
      <c r="AD100" s="722">
        <f t="shared" ref="AD100:AN100" si="6">AD98*$B$100</f>
        <v>0</v>
      </c>
      <c r="AE100" s="722">
        <f t="shared" si="6"/>
        <v>0</v>
      </c>
      <c r="AF100" s="722">
        <f t="shared" si="6"/>
        <v>0</v>
      </c>
      <c r="AG100" s="722">
        <f t="shared" si="6"/>
        <v>0</v>
      </c>
      <c r="AH100" s="722">
        <f t="shared" si="6"/>
        <v>0</v>
      </c>
      <c r="AI100" s="722">
        <f t="shared" si="6"/>
        <v>10581.518</v>
      </c>
      <c r="AJ100" s="722">
        <f t="shared" si="6"/>
        <v>0</v>
      </c>
      <c r="AK100" s="722">
        <f t="shared" si="6"/>
        <v>0</v>
      </c>
      <c r="AL100" s="722">
        <f t="shared" si="6"/>
        <v>0</v>
      </c>
      <c r="AM100" s="722">
        <f t="shared" si="6"/>
        <v>0</v>
      </c>
      <c r="AN100" s="722">
        <f t="shared" si="6"/>
        <v>0</v>
      </c>
      <c r="AO100" s="724">
        <f>SUM(AC100:AN100)</f>
        <v>10581.518</v>
      </c>
      <c r="AP100" s="722">
        <f>AP98*$B$100</f>
        <v>0</v>
      </c>
      <c r="AQ100" s="722">
        <f t="shared" ref="AQ100:BA100" si="7">AQ98*$B$100</f>
        <v>0</v>
      </c>
      <c r="AR100" s="722">
        <f t="shared" si="7"/>
        <v>0</v>
      </c>
      <c r="AS100" s="722">
        <f t="shared" si="7"/>
        <v>0</v>
      </c>
      <c r="AT100" s="722">
        <f t="shared" si="7"/>
        <v>0</v>
      </c>
      <c r="AU100" s="722">
        <f t="shared" si="7"/>
        <v>0</v>
      </c>
      <c r="AV100" s="722">
        <f t="shared" si="7"/>
        <v>10581.518</v>
      </c>
      <c r="AW100" s="722">
        <f t="shared" si="7"/>
        <v>0</v>
      </c>
      <c r="AX100" s="722">
        <f t="shared" si="7"/>
        <v>0</v>
      </c>
      <c r="AY100" s="722">
        <f t="shared" si="7"/>
        <v>0</v>
      </c>
      <c r="AZ100" s="722">
        <f t="shared" si="7"/>
        <v>0</v>
      </c>
      <c r="BA100" s="722">
        <f t="shared" si="7"/>
        <v>0</v>
      </c>
      <c r="BB100" s="724">
        <f t="shared" si="2"/>
        <v>10581.518</v>
      </c>
      <c r="BC100" s="722">
        <f>BC98*$B$100</f>
        <v>0</v>
      </c>
      <c r="BD100" s="722">
        <f t="shared" ref="BD100:BN100" si="8">BD98*$B$100</f>
        <v>0</v>
      </c>
      <c r="BE100" s="722">
        <f t="shared" si="8"/>
        <v>0</v>
      </c>
      <c r="BF100" s="722">
        <f t="shared" si="8"/>
        <v>0</v>
      </c>
      <c r="BG100" s="722">
        <f t="shared" si="8"/>
        <v>0</v>
      </c>
      <c r="BH100" s="722">
        <f t="shared" si="8"/>
        <v>0</v>
      </c>
      <c r="BI100" s="722">
        <f t="shared" si="8"/>
        <v>10581.518</v>
      </c>
      <c r="BJ100" s="722">
        <f t="shared" si="8"/>
        <v>0</v>
      </c>
      <c r="BK100" s="722">
        <f t="shared" si="8"/>
        <v>0</v>
      </c>
      <c r="BL100" s="722">
        <f t="shared" si="8"/>
        <v>0</v>
      </c>
      <c r="BM100" s="722">
        <f t="shared" si="8"/>
        <v>0</v>
      </c>
      <c r="BN100" s="722">
        <f t="shared" si="8"/>
        <v>0</v>
      </c>
      <c r="BO100" s="724">
        <f t="shared" si="3"/>
        <v>10581.518</v>
      </c>
      <c r="BP100" s="726">
        <f>O100+AB100+AO100+BB100+BO100</f>
        <v>47616.830999999991</v>
      </c>
    </row>
    <row r="101" spans="1:68" ht="13.5" customHeight="1" thickBot="1">
      <c r="A101" s="720" t="s">
        <v>77</v>
      </c>
      <c r="B101" s="727">
        <f>'Tatsunoko Inputs'!G6</f>
        <v>0.1</v>
      </c>
      <c r="C101" s="722">
        <v>0</v>
      </c>
      <c r="D101" s="722">
        <v>0</v>
      </c>
      <c r="E101" s="722">
        <v>0</v>
      </c>
      <c r="F101" s="722">
        <f>ROUND(SUM(C98:E98)*$B$101,0)</f>
        <v>0</v>
      </c>
      <c r="G101" s="722">
        <v>0</v>
      </c>
      <c r="H101" s="722">
        <v>0</v>
      </c>
      <c r="I101" s="722">
        <v>0</v>
      </c>
      <c r="J101" s="722">
        <f>ROUND(SUM(G98:I98)*$B$101,0)</f>
        <v>0</v>
      </c>
      <c r="K101" s="722">
        <v>0</v>
      </c>
      <c r="L101" s="722">
        <v>0</v>
      </c>
      <c r="M101" s="722">
        <v>30000</v>
      </c>
      <c r="N101" s="722">
        <f>ROUND(SUM(K98:M98)*$B$101,0)</f>
        <v>0</v>
      </c>
      <c r="O101" s="724">
        <f t="shared" si="0"/>
        <v>30000</v>
      </c>
      <c r="P101" s="722">
        <f>ROUND(SUM(M98:O98)*$B$101,0)</f>
        <v>0</v>
      </c>
      <c r="Q101" s="722">
        <v>0</v>
      </c>
      <c r="R101" s="722">
        <v>0</v>
      </c>
      <c r="S101" s="722">
        <f>ROUND(SUM(P98:R98)*$B$101,0)</f>
        <v>0</v>
      </c>
      <c r="T101" s="722">
        <v>0</v>
      </c>
      <c r="U101" s="722">
        <v>0</v>
      </c>
      <c r="V101" s="722">
        <f>ROUND(SUM(S98:U98)*$B$101,0)</f>
        <v>0</v>
      </c>
      <c r="W101" s="722">
        <v>30000</v>
      </c>
      <c r="X101" s="722">
        <v>0</v>
      </c>
      <c r="Y101" s="722">
        <f>ROUND(SUM(V98:X98)*$B$101,0)-SUM(M101:N101)-SUM(P101:X101)</f>
        <v>98723</v>
      </c>
      <c r="Z101" s="722">
        <f>ROUND(SUM(W98:Y98)*$B$101,0)</f>
        <v>0</v>
      </c>
      <c r="AA101" s="722">
        <v>0</v>
      </c>
      <c r="AB101" s="724">
        <f t="shared" si="1"/>
        <v>128723</v>
      </c>
      <c r="AC101" s="722">
        <v>0</v>
      </c>
      <c r="AD101" s="722">
        <v>0</v>
      </c>
      <c r="AE101" s="722">
        <v>0</v>
      </c>
      <c r="AF101" s="722">
        <f>ROUND(SUM(AC98:AE98)*$B$101,0)</f>
        <v>0</v>
      </c>
      <c r="AG101" s="722">
        <f>ROUND(SUM(AD98:AF98)*$B$101,0)</f>
        <v>0</v>
      </c>
      <c r="AH101" s="722">
        <v>0</v>
      </c>
      <c r="AI101" s="722">
        <v>0</v>
      </c>
      <c r="AJ101" s="722">
        <f>ROUND(SUM(AG98:AI98)*$B$101,0)</f>
        <v>105815</v>
      </c>
      <c r="AK101" s="722">
        <v>0</v>
      </c>
      <c r="AL101" s="722">
        <v>0</v>
      </c>
      <c r="AM101" s="722">
        <f>ROUND(SUM(AJ98:AL98)*$B$101,0)</f>
        <v>0</v>
      </c>
      <c r="AN101" s="722">
        <v>0</v>
      </c>
      <c r="AO101" s="724">
        <f>SUM(AC101:AN101)</f>
        <v>105815</v>
      </c>
      <c r="AP101" s="722">
        <v>0</v>
      </c>
      <c r="AQ101" s="722">
        <v>0</v>
      </c>
      <c r="AR101" s="722">
        <v>0</v>
      </c>
      <c r="AS101" s="722">
        <f>ROUND(SUM(AP98:AR98)*$B$101,0)</f>
        <v>0</v>
      </c>
      <c r="AT101" s="722">
        <f>ROUND(SUM(AQ98:AS98)*$B$101,0)</f>
        <v>0</v>
      </c>
      <c r="AU101" s="722">
        <v>0</v>
      </c>
      <c r="AV101" s="722">
        <v>0</v>
      </c>
      <c r="AW101" s="722">
        <f>ROUND(SUM(AT98:AV98)*$B$101,0)</f>
        <v>105815</v>
      </c>
      <c r="AX101" s="722">
        <v>0</v>
      </c>
      <c r="AY101" s="722">
        <v>0</v>
      </c>
      <c r="AZ101" s="722">
        <f>ROUND(SUM(AW98:AY98)*$B$101,0)</f>
        <v>0</v>
      </c>
      <c r="BA101" s="722">
        <v>0</v>
      </c>
      <c r="BB101" s="724">
        <f t="shared" si="2"/>
        <v>105815</v>
      </c>
      <c r="BC101" s="722">
        <v>0</v>
      </c>
      <c r="BD101" s="722">
        <v>0</v>
      </c>
      <c r="BE101" s="722">
        <v>0</v>
      </c>
      <c r="BF101" s="722">
        <f>ROUND(SUM(BC98:BE98)*$B$101,0)</f>
        <v>0</v>
      </c>
      <c r="BG101" s="722">
        <v>0</v>
      </c>
      <c r="BH101" s="722">
        <v>0</v>
      </c>
      <c r="BI101" s="722">
        <v>0</v>
      </c>
      <c r="BJ101" s="722">
        <f>ROUND(SUM(BG98:BI98)*$B$101,0)</f>
        <v>105815</v>
      </c>
      <c r="BK101" s="722">
        <v>0</v>
      </c>
      <c r="BL101" s="722">
        <v>0</v>
      </c>
      <c r="BM101" s="722">
        <v>0</v>
      </c>
      <c r="BN101" s="722">
        <f>ROUND(SUM(BK98:BM98)*$B$101,0)</f>
        <v>0</v>
      </c>
      <c r="BO101" s="724">
        <f t="shared" si="3"/>
        <v>105815</v>
      </c>
      <c r="BP101" s="726">
        <f>O101+AB101+AO101+BB101+BO101</f>
        <v>476168</v>
      </c>
    </row>
    <row r="102" spans="1:68" s="733" customFormat="1" ht="13.5" customHeight="1" thickBot="1">
      <c r="A102" s="728" t="s">
        <v>5</v>
      </c>
      <c r="B102" s="729"/>
      <c r="C102" s="730">
        <f>C98-C99-C100-C101</f>
        <v>0</v>
      </c>
      <c r="D102" s="730">
        <f t="shared" ref="D102:N102" si="9">D98-D99-D100-D101</f>
        <v>0</v>
      </c>
      <c r="E102" s="730">
        <f t="shared" si="9"/>
        <v>0</v>
      </c>
      <c r="F102" s="730">
        <f t="shared" si="9"/>
        <v>0</v>
      </c>
      <c r="G102" s="730">
        <f t="shared" si="9"/>
        <v>0</v>
      </c>
      <c r="H102" s="730">
        <f t="shared" si="9"/>
        <v>0</v>
      </c>
      <c r="I102" s="730">
        <f t="shared" si="9"/>
        <v>0</v>
      </c>
      <c r="J102" s="730">
        <f t="shared" si="9"/>
        <v>0</v>
      </c>
      <c r="K102" s="730">
        <f t="shared" si="9"/>
        <v>0</v>
      </c>
      <c r="L102" s="730">
        <f t="shared" si="9"/>
        <v>0</v>
      </c>
      <c r="M102" s="730">
        <f t="shared" si="9"/>
        <v>-30000</v>
      </c>
      <c r="N102" s="730">
        <f t="shared" si="9"/>
        <v>0</v>
      </c>
      <c r="O102" s="731">
        <f t="shared" ref="O102" si="10">SUM(C102:N102)</f>
        <v>-30000</v>
      </c>
      <c r="P102" s="730">
        <f>P98-P99-P100-P101</f>
        <v>0</v>
      </c>
      <c r="Q102" s="730">
        <f t="shared" ref="Q102:AA102" si="11">Q98-Q99-Q100-Q101</f>
        <v>0</v>
      </c>
      <c r="R102" s="730">
        <f t="shared" si="11"/>
        <v>0</v>
      </c>
      <c r="S102" s="730">
        <f t="shared" si="11"/>
        <v>0</v>
      </c>
      <c r="T102" s="730">
        <f t="shared" si="11"/>
        <v>0</v>
      </c>
      <c r="U102" s="730">
        <f t="shared" si="11"/>
        <v>0</v>
      </c>
      <c r="V102" s="730">
        <f t="shared" si="11"/>
        <v>777741.57299999997</v>
      </c>
      <c r="W102" s="730">
        <f t="shared" si="11"/>
        <v>-30000</v>
      </c>
      <c r="X102" s="730">
        <f t="shared" si="11"/>
        <v>0</v>
      </c>
      <c r="Y102" s="730">
        <f t="shared" si="11"/>
        <v>-98723</v>
      </c>
      <c r="Z102" s="730">
        <f t="shared" si="11"/>
        <v>0</v>
      </c>
      <c r="AA102" s="730">
        <f t="shared" si="11"/>
        <v>0</v>
      </c>
      <c r="AB102" s="731">
        <f t="shared" ref="AB102" si="12">SUM(P102:AA102)</f>
        <v>649018.57299999997</v>
      </c>
      <c r="AC102" s="730">
        <f>AC98-AC99-AC100-AC101</f>
        <v>0</v>
      </c>
      <c r="AD102" s="730">
        <f t="shared" ref="AD102:AN102" si="13">AD98-AD99-AD100-AD101</f>
        <v>0</v>
      </c>
      <c r="AE102" s="730">
        <f t="shared" si="13"/>
        <v>0</v>
      </c>
      <c r="AF102" s="730">
        <f t="shared" si="13"/>
        <v>0</v>
      </c>
      <c r="AG102" s="730">
        <f t="shared" si="13"/>
        <v>0</v>
      </c>
      <c r="AH102" s="730">
        <f t="shared" si="13"/>
        <v>0</v>
      </c>
      <c r="AI102" s="730">
        <f t="shared" si="13"/>
        <v>518494.38200000004</v>
      </c>
      <c r="AJ102" s="730">
        <f t="shared" si="13"/>
        <v>-105815</v>
      </c>
      <c r="AK102" s="730">
        <f t="shared" si="13"/>
        <v>0</v>
      </c>
      <c r="AL102" s="730">
        <f t="shared" si="13"/>
        <v>0</v>
      </c>
      <c r="AM102" s="730">
        <f t="shared" si="13"/>
        <v>0</v>
      </c>
      <c r="AN102" s="730">
        <f t="shared" si="13"/>
        <v>0</v>
      </c>
      <c r="AO102" s="731">
        <f>SUM(AC102:AN102)</f>
        <v>412679.38200000004</v>
      </c>
      <c r="AP102" s="730">
        <f>AP98-AP99-AP100-AP101</f>
        <v>0</v>
      </c>
      <c r="AQ102" s="730">
        <f t="shared" ref="AQ102:BA102" si="14">AQ98-AQ99-AQ100-AQ101</f>
        <v>0</v>
      </c>
      <c r="AR102" s="730">
        <f t="shared" si="14"/>
        <v>0</v>
      </c>
      <c r="AS102" s="730">
        <f t="shared" si="14"/>
        <v>0</v>
      </c>
      <c r="AT102" s="730">
        <f t="shared" si="14"/>
        <v>0</v>
      </c>
      <c r="AU102" s="730">
        <f t="shared" si="14"/>
        <v>0</v>
      </c>
      <c r="AV102" s="730">
        <f t="shared" si="14"/>
        <v>518494.38200000004</v>
      </c>
      <c r="AW102" s="730">
        <f t="shared" si="14"/>
        <v>-105815</v>
      </c>
      <c r="AX102" s="730">
        <f t="shared" si="14"/>
        <v>0</v>
      </c>
      <c r="AY102" s="730">
        <f t="shared" si="14"/>
        <v>0</v>
      </c>
      <c r="AZ102" s="730">
        <f t="shared" si="14"/>
        <v>0</v>
      </c>
      <c r="BA102" s="730">
        <f t="shared" si="14"/>
        <v>0</v>
      </c>
      <c r="BB102" s="731">
        <f t="shared" ref="BB102" si="15">SUM(AP102:BA102)</f>
        <v>412679.38200000004</v>
      </c>
      <c r="BC102" s="730">
        <f>BC98-BC99-BC100-BC101</f>
        <v>0</v>
      </c>
      <c r="BD102" s="730">
        <f t="shared" ref="BD102:BN102" si="16">BD98-BD99-BD100-BD101</f>
        <v>0</v>
      </c>
      <c r="BE102" s="730">
        <f t="shared" si="16"/>
        <v>0</v>
      </c>
      <c r="BF102" s="730">
        <f t="shared" si="16"/>
        <v>0</v>
      </c>
      <c r="BG102" s="730">
        <f t="shared" si="16"/>
        <v>0</v>
      </c>
      <c r="BH102" s="730">
        <f t="shared" si="16"/>
        <v>0</v>
      </c>
      <c r="BI102" s="730">
        <f t="shared" si="16"/>
        <v>518494.38200000004</v>
      </c>
      <c r="BJ102" s="730">
        <f t="shared" si="16"/>
        <v>-105815</v>
      </c>
      <c r="BK102" s="730">
        <f t="shared" si="16"/>
        <v>0</v>
      </c>
      <c r="BL102" s="730">
        <f t="shared" si="16"/>
        <v>0</v>
      </c>
      <c r="BM102" s="730">
        <f t="shared" si="16"/>
        <v>0</v>
      </c>
      <c r="BN102" s="730">
        <f t="shared" si="16"/>
        <v>0</v>
      </c>
      <c r="BO102" s="731">
        <f t="shared" ref="BO102" si="17">SUM(BC102:BN102)</f>
        <v>412679.38200000004</v>
      </c>
      <c r="BP102" s="732">
        <f>O102+AB102+AO102+BB102+BO102</f>
        <v>1857056.719</v>
      </c>
    </row>
    <row r="103" spans="1:68" s="556" customFormat="1">
      <c r="B103" s="543"/>
      <c r="C103" s="543"/>
      <c r="D103" s="543"/>
      <c r="E103" s="543"/>
      <c r="F103" s="543"/>
      <c r="G103" s="543"/>
      <c r="H103" s="543"/>
      <c r="J103" s="551"/>
      <c r="L103" s="543"/>
      <c r="O103" s="543"/>
      <c r="Q103" s="543"/>
      <c r="T103" s="543"/>
      <c r="V103" s="543"/>
      <c r="Y103" s="543"/>
      <c r="AB103" s="619"/>
    </row>
    <row r="104" spans="1:68">
      <c r="M104" s="980"/>
    </row>
    <row r="105" spans="1:68">
      <c r="L105" s="974"/>
      <c r="M105" s="980"/>
    </row>
    <row r="106" spans="1:68">
      <c r="M106" s="980"/>
    </row>
  </sheetData>
  <mergeCells count="150">
    <mergeCell ref="E5:E6"/>
    <mergeCell ref="G5:G6"/>
    <mergeCell ref="H5:H6"/>
    <mergeCell ref="AP5:AP6"/>
    <mergeCell ref="AQ5:AQ6"/>
    <mergeCell ref="AR5:AR6"/>
    <mergeCell ref="AA5:AA6"/>
    <mergeCell ref="AB5:AB6"/>
    <mergeCell ref="AC5:AC6"/>
    <mergeCell ref="AF5:AF6"/>
    <mergeCell ref="AG5:AG6"/>
    <mergeCell ref="AH5:AH6"/>
    <mergeCell ref="B21:B22"/>
    <mergeCell ref="C21:C22"/>
    <mergeCell ref="D21:D22"/>
    <mergeCell ref="E21:E22"/>
    <mergeCell ref="G21:G22"/>
    <mergeCell ref="H21:H22"/>
    <mergeCell ref="AK5:AK6"/>
    <mergeCell ref="AL5:AL6"/>
    <mergeCell ref="AM5:AM6"/>
    <mergeCell ref="Q5:Q6"/>
    <mergeCell ref="R5:R6"/>
    <mergeCell ref="S5:S6"/>
    <mergeCell ref="V5:V6"/>
    <mergeCell ref="W5:W6"/>
    <mergeCell ref="X5:X6"/>
    <mergeCell ref="I5:I6"/>
    <mergeCell ref="J5:J6"/>
    <mergeCell ref="L5:L6"/>
    <mergeCell ref="M5:M6"/>
    <mergeCell ref="N5:N6"/>
    <mergeCell ref="O5:O6"/>
    <mergeCell ref="B5:B6"/>
    <mergeCell ref="C5:C6"/>
    <mergeCell ref="D5:D6"/>
    <mergeCell ref="Q21:Q22"/>
    <mergeCell ref="R21:R22"/>
    <mergeCell ref="S21:S22"/>
    <mergeCell ref="V21:V22"/>
    <mergeCell ref="W21:W22"/>
    <mergeCell ref="X21:X22"/>
    <mergeCell ref="I21:I22"/>
    <mergeCell ref="J21:J22"/>
    <mergeCell ref="L21:L22"/>
    <mergeCell ref="M21:M22"/>
    <mergeCell ref="N21:N22"/>
    <mergeCell ref="O21:O22"/>
    <mergeCell ref="AK21:AK22"/>
    <mergeCell ref="AL21:AL22"/>
    <mergeCell ref="AM21:AM22"/>
    <mergeCell ref="AP21:AP22"/>
    <mergeCell ref="AQ21:AQ22"/>
    <mergeCell ref="AR21:AR22"/>
    <mergeCell ref="AA21:AA22"/>
    <mergeCell ref="AB21:AB22"/>
    <mergeCell ref="AC21:AC22"/>
    <mergeCell ref="AF21:AF22"/>
    <mergeCell ref="AG21:AG22"/>
    <mergeCell ref="AH21:AH22"/>
    <mergeCell ref="M37:M38"/>
    <mergeCell ref="N37:N38"/>
    <mergeCell ref="O37:O38"/>
    <mergeCell ref="B37:B38"/>
    <mergeCell ref="C37:C38"/>
    <mergeCell ref="D37:D38"/>
    <mergeCell ref="E37:E38"/>
    <mergeCell ref="G37:G38"/>
    <mergeCell ref="H37:H38"/>
    <mergeCell ref="E53:E54"/>
    <mergeCell ref="G53:G54"/>
    <mergeCell ref="H53:H54"/>
    <mergeCell ref="AK37:AK38"/>
    <mergeCell ref="AL37:AL38"/>
    <mergeCell ref="AM37:AM38"/>
    <mergeCell ref="AP37:AP38"/>
    <mergeCell ref="AQ37:AQ38"/>
    <mergeCell ref="AR37:AR38"/>
    <mergeCell ref="AA37:AA38"/>
    <mergeCell ref="AB37:AB38"/>
    <mergeCell ref="AC37:AC38"/>
    <mergeCell ref="AF37:AF38"/>
    <mergeCell ref="AG37:AG38"/>
    <mergeCell ref="AH37:AH38"/>
    <mergeCell ref="Q37:Q38"/>
    <mergeCell ref="R37:R38"/>
    <mergeCell ref="S37:S38"/>
    <mergeCell ref="V37:V38"/>
    <mergeCell ref="W37:W38"/>
    <mergeCell ref="X37:X38"/>
    <mergeCell ref="I37:I38"/>
    <mergeCell ref="J37:J38"/>
    <mergeCell ref="L37:L38"/>
    <mergeCell ref="AP53:AP54"/>
    <mergeCell ref="AQ53:AQ54"/>
    <mergeCell ref="AR53:AR54"/>
    <mergeCell ref="AA53:AA54"/>
    <mergeCell ref="AB53:AB54"/>
    <mergeCell ref="AC53:AC54"/>
    <mergeCell ref="AF53:AF54"/>
    <mergeCell ref="AG53:AG54"/>
    <mergeCell ref="AH53:AH54"/>
    <mergeCell ref="B69:B70"/>
    <mergeCell ref="C69:C70"/>
    <mergeCell ref="D69:D70"/>
    <mergeCell ref="E69:E70"/>
    <mergeCell ref="G69:G70"/>
    <mergeCell ref="H69:H70"/>
    <mergeCell ref="AK53:AK54"/>
    <mergeCell ref="AL53:AL54"/>
    <mergeCell ref="AM53:AM54"/>
    <mergeCell ref="Q53:Q54"/>
    <mergeCell ref="R53:R54"/>
    <mergeCell ref="S53:S54"/>
    <mergeCell ref="V53:V54"/>
    <mergeCell ref="W53:W54"/>
    <mergeCell ref="X53:X54"/>
    <mergeCell ref="I53:I54"/>
    <mergeCell ref="J53:J54"/>
    <mergeCell ref="L53:L54"/>
    <mergeCell ref="M53:M54"/>
    <mergeCell ref="N53:N54"/>
    <mergeCell ref="O53:O54"/>
    <mergeCell ref="B53:B54"/>
    <mergeCell ref="C53:C54"/>
    <mergeCell ref="D53:D54"/>
    <mergeCell ref="Q69:Q70"/>
    <mergeCell ref="R69:R70"/>
    <mergeCell ref="S69:S70"/>
    <mergeCell ref="V69:V70"/>
    <mergeCell ref="W69:W70"/>
    <mergeCell ref="X69:X70"/>
    <mergeCell ref="I69:I70"/>
    <mergeCell ref="J69:J70"/>
    <mergeCell ref="L69:L70"/>
    <mergeCell ref="M69:M70"/>
    <mergeCell ref="N69:N70"/>
    <mergeCell ref="O69:O70"/>
    <mergeCell ref="AK69:AK70"/>
    <mergeCell ref="AL69:AL70"/>
    <mergeCell ref="AM69:AM70"/>
    <mergeCell ref="AP69:AP70"/>
    <mergeCell ref="AQ69:AQ70"/>
    <mergeCell ref="AR69:AR70"/>
    <mergeCell ref="AA69:AA70"/>
    <mergeCell ref="AB69:AB70"/>
    <mergeCell ref="AC69:AC70"/>
    <mergeCell ref="AF69:AF70"/>
    <mergeCell ref="AG69:AG70"/>
    <mergeCell ref="AH69:AH7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5AB9-7CD9-DC41-A637-8F25E5F49281}">
  <sheetPr>
    <tabColor theme="6" tint="0.59999389629810485"/>
  </sheetPr>
  <dimension ref="A1:V131"/>
  <sheetViews>
    <sheetView workbookViewId="0">
      <selection activeCell="A5" sqref="A5"/>
    </sheetView>
  </sheetViews>
  <sheetFormatPr baseColWidth="10" defaultColWidth="8.6640625" defaultRowHeight="15"/>
  <cols>
    <col min="1" max="1" width="13.83203125" style="556" bestFit="1" customWidth="1"/>
    <col min="2" max="2" width="2.83203125" style="543" customWidth="1"/>
    <col min="3" max="3" width="13.83203125" style="556" bestFit="1" customWidth="1"/>
    <col min="4" max="4" width="2.6640625" style="556" customWidth="1"/>
    <col min="5" max="5" width="10.33203125" style="543" customWidth="1"/>
    <col min="6" max="6" width="2.6640625" style="745" customWidth="1"/>
    <col min="7" max="7" width="9.6640625" style="746" customWidth="1"/>
    <col min="8" max="8" width="2.6640625" style="747" customWidth="1"/>
    <col min="9" max="9" width="9.5" style="747" bestFit="1" customWidth="1"/>
    <col min="10" max="10" width="2.6640625" style="746" customWidth="1"/>
    <col min="11" max="11" width="10.1640625" style="747" bestFit="1" customWidth="1"/>
    <col min="12" max="12" width="2.6640625" style="746" customWidth="1"/>
    <col min="13" max="13" width="10.1640625" style="747" bestFit="1" customWidth="1"/>
    <col min="14" max="14" width="9.6640625" style="619" customWidth="1"/>
    <col min="15" max="16384" width="8.6640625" style="556"/>
  </cols>
  <sheetData>
    <row r="1" spans="1:22">
      <c r="A1" s="1154" t="s">
        <v>873</v>
      </c>
      <c r="B1" s="1154"/>
      <c r="C1" s="1154"/>
      <c r="D1" s="1154"/>
      <c r="E1" s="1154"/>
      <c r="F1" s="1154"/>
      <c r="G1" s="1154"/>
      <c r="H1" s="1154"/>
      <c r="I1" s="1154"/>
      <c r="J1" s="1154"/>
      <c r="K1" s="1154"/>
      <c r="L1" s="1154"/>
      <c r="M1" s="1154"/>
    </row>
    <row r="2" spans="1:22">
      <c r="A2" s="741"/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556"/>
    </row>
    <row r="3" spans="1:22" ht="16" thickBot="1">
      <c r="A3" s="741"/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556"/>
    </row>
    <row r="4" spans="1:22" ht="16" thickBot="1">
      <c r="A4" s="742" t="s">
        <v>1073</v>
      </c>
      <c r="B4" s="743"/>
      <c r="C4" s="743"/>
      <c r="D4" s="743"/>
      <c r="E4" s="743"/>
      <c r="F4" s="743"/>
      <c r="G4" s="744"/>
      <c r="H4" s="551"/>
      <c r="I4" s="745"/>
      <c r="M4" s="746"/>
      <c r="N4" s="551"/>
    </row>
    <row r="5" spans="1:22">
      <c r="A5" s="748" t="s">
        <v>731</v>
      </c>
      <c r="B5" s="749"/>
      <c r="C5" s="749"/>
      <c r="D5" s="749"/>
      <c r="E5" s="749"/>
      <c r="F5" s="749"/>
      <c r="G5" s="750"/>
      <c r="H5" s="551"/>
      <c r="I5" s="745"/>
      <c r="M5" s="746"/>
      <c r="N5" s="551"/>
    </row>
    <row r="6" spans="1:22">
      <c r="A6" s="751"/>
      <c r="B6" s="752" t="s">
        <v>872</v>
      </c>
      <c r="C6" s="737"/>
      <c r="D6" s="737"/>
      <c r="E6" s="737"/>
      <c r="F6" s="737"/>
      <c r="G6" s="738">
        <v>0.1</v>
      </c>
      <c r="H6" s="551"/>
      <c r="I6" s="745"/>
      <c r="M6" s="746"/>
      <c r="N6" s="551"/>
    </row>
    <row r="7" spans="1:22">
      <c r="A7" s="751"/>
      <c r="B7" s="752" t="s">
        <v>735</v>
      </c>
      <c r="C7" s="737"/>
      <c r="D7" s="737"/>
      <c r="E7" s="737"/>
      <c r="F7" s="737"/>
      <c r="G7" s="738">
        <f>'Model Assumptions'!R9</f>
        <v>0</v>
      </c>
      <c r="H7" s="551"/>
      <c r="I7" s="745"/>
      <c r="M7" s="746"/>
      <c r="N7" s="551"/>
      <c r="O7" s="1048"/>
      <c r="P7"/>
      <c r="Q7" s="1049"/>
      <c r="R7" s="1050"/>
      <c r="S7" s="1051"/>
      <c r="T7" s="1049"/>
      <c r="U7" s="1052"/>
      <c r="V7" s="1052"/>
    </row>
    <row r="8" spans="1:22">
      <c r="A8" s="751"/>
      <c r="B8" s="752"/>
      <c r="C8" s="737"/>
      <c r="D8" s="737"/>
      <c r="E8" s="737"/>
      <c r="F8" s="737"/>
      <c r="G8" s="738"/>
      <c r="H8" s="551"/>
      <c r="I8" s="745"/>
      <c r="M8" s="746"/>
      <c r="N8" s="551"/>
      <c r="O8" s="1048"/>
      <c r="P8"/>
      <c r="Q8" s="1049"/>
      <c r="R8" s="1050"/>
      <c r="S8" s="1051"/>
      <c r="T8" s="1049"/>
      <c r="U8" s="1052"/>
      <c r="V8" s="1052"/>
    </row>
    <row r="9" spans="1:22">
      <c r="A9" s="751" t="s">
        <v>732</v>
      </c>
      <c r="B9" s="753"/>
      <c r="C9" s="753"/>
      <c r="D9" s="753"/>
      <c r="E9" s="753"/>
      <c r="F9" s="753"/>
      <c r="G9" s="754"/>
      <c r="H9" s="551"/>
      <c r="I9" s="745"/>
      <c r="M9" s="746"/>
      <c r="N9" s="551"/>
      <c r="O9" s="1048"/>
      <c r="P9"/>
      <c r="Q9" s="1049"/>
      <c r="R9" s="1050"/>
      <c r="S9" s="1051"/>
      <c r="T9" s="1049"/>
      <c r="U9" s="1052"/>
      <c r="V9" s="1052"/>
    </row>
    <row r="10" spans="1:22">
      <c r="A10" s="751"/>
      <c r="B10" s="752" t="s">
        <v>861</v>
      </c>
      <c r="C10" s="737"/>
      <c r="D10" s="737"/>
      <c r="E10" s="737"/>
      <c r="F10" s="737"/>
      <c r="G10" s="738">
        <v>0.6</v>
      </c>
      <c r="H10" s="551"/>
      <c r="I10" s="745"/>
      <c r="M10" s="746"/>
      <c r="N10" s="551"/>
      <c r="O10" s="1048"/>
      <c r="P10"/>
      <c r="Q10" s="1049"/>
      <c r="R10" s="1050"/>
      <c r="S10" s="1051"/>
      <c r="T10" s="1049"/>
      <c r="U10" s="1052"/>
      <c r="V10" s="1052"/>
    </row>
    <row r="11" spans="1:22">
      <c r="A11" s="751"/>
      <c r="B11" s="752" t="s">
        <v>862</v>
      </c>
      <c r="C11" s="737"/>
      <c r="D11" s="737"/>
      <c r="E11" s="737"/>
      <c r="F11" s="737"/>
      <c r="G11" s="738">
        <v>0.5</v>
      </c>
      <c r="H11" s="551"/>
      <c r="I11" s="745"/>
      <c r="M11" s="746"/>
      <c r="N11" s="551"/>
    </row>
    <row r="12" spans="1:22">
      <c r="A12" s="751"/>
      <c r="B12" s="752" t="s">
        <v>863</v>
      </c>
      <c r="C12" s="737"/>
      <c r="D12" s="737"/>
      <c r="E12" s="737"/>
      <c r="F12" s="737"/>
      <c r="G12" s="738">
        <v>0.05</v>
      </c>
      <c r="H12" s="551"/>
      <c r="I12" s="745"/>
      <c r="M12" s="746"/>
      <c r="N12" s="551"/>
    </row>
    <row r="13" spans="1:22">
      <c r="A13" s="751"/>
      <c r="B13" s="752" t="s">
        <v>736</v>
      </c>
      <c r="C13" s="737"/>
      <c r="D13" s="737"/>
      <c r="E13" s="737"/>
      <c r="F13" s="737"/>
      <c r="G13" s="738">
        <v>0.01</v>
      </c>
      <c r="H13" s="551"/>
      <c r="I13" s="745"/>
      <c r="M13" s="746"/>
      <c r="N13" s="551"/>
    </row>
    <row r="14" spans="1:22" ht="16" thickBot="1">
      <c r="A14" s="755"/>
      <c r="B14" s="756" t="s">
        <v>729</v>
      </c>
      <c r="C14" s="739"/>
      <c r="D14" s="739"/>
      <c r="E14" s="739"/>
      <c r="F14" s="739"/>
      <c r="G14" s="740">
        <v>0.5</v>
      </c>
      <c r="H14" s="551"/>
      <c r="I14" s="745"/>
      <c r="M14" s="746"/>
      <c r="N14" s="551"/>
    </row>
    <row r="15" spans="1:22" ht="16" thickBot="1">
      <c r="D15" s="543"/>
      <c r="E15" s="551"/>
      <c r="I15" s="746"/>
    </row>
    <row r="16" spans="1:22" ht="16" thickBot="1">
      <c r="A16" s="1155" t="s">
        <v>991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7"/>
      <c r="N16" s="758"/>
    </row>
    <row r="17" spans="1:14">
      <c r="A17" s="759"/>
      <c r="B17" s="760"/>
      <c r="C17" s="761"/>
      <c r="D17" s="760"/>
      <c r="E17" s="761"/>
      <c r="F17" s="762"/>
      <c r="G17" s="763"/>
      <c r="H17" s="764"/>
      <c r="I17" s="763"/>
      <c r="J17" s="764"/>
      <c r="K17" s="764"/>
      <c r="L17" s="763"/>
      <c r="M17" s="765"/>
      <c r="N17" s="758"/>
    </row>
    <row r="18" spans="1:14">
      <c r="A18" s="759" t="s">
        <v>874</v>
      </c>
      <c r="B18" s="760"/>
      <c r="C18" s="766" t="s">
        <v>1057</v>
      </c>
      <c r="D18" s="760"/>
      <c r="E18" s="767"/>
      <c r="F18" s="762"/>
      <c r="G18" s="763"/>
      <c r="H18" s="764"/>
      <c r="I18" s="763"/>
      <c r="J18" s="768"/>
      <c r="K18" s="764"/>
      <c r="L18" s="763"/>
      <c r="M18" s="765"/>
    </row>
    <row r="19" spans="1:14">
      <c r="A19" s="759" t="s">
        <v>876</v>
      </c>
      <c r="B19" s="760"/>
      <c r="C19" s="766">
        <v>46539</v>
      </c>
      <c r="D19" s="760"/>
      <c r="E19" s="767"/>
      <c r="F19" s="762"/>
      <c r="G19" s="763"/>
      <c r="H19" s="764"/>
      <c r="I19" s="763"/>
      <c r="J19" s="768"/>
      <c r="K19" s="764"/>
      <c r="L19" s="763"/>
      <c r="M19" s="765"/>
    </row>
    <row r="20" spans="1:14" ht="16" thickBot="1">
      <c r="A20" s="759"/>
      <c r="B20" s="760"/>
      <c r="C20" s="761"/>
      <c r="D20" s="760"/>
      <c r="E20" s="761"/>
      <c r="F20" s="762"/>
      <c r="G20" s="763"/>
      <c r="H20" s="764"/>
      <c r="I20" s="763"/>
      <c r="J20" s="764"/>
      <c r="K20" s="764"/>
      <c r="L20" s="763"/>
      <c r="M20" s="765"/>
    </row>
    <row r="21" spans="1:14" ht="16" thickBot="1">
      <c r="A21" s="1155" t="s">
        <v>877</v>
      </c>
      <c r="B21" s="1156"/>
      <c r="C21" s="1156"/>
      <c r="D21" s="1156"/>
      <c r="E21" s="1156"/>
      <c r="F21" s="1156"/>
      <c r="G21" s="1156"/>
      <c r="H21" s="1156"/>
      <c r="I21" s="1156"/>
      <c r="J21" s="1156"/>
      <c r="K21" s="1156"/>
      <c r="L21" s="1156"/>
      <c r="M21" s="1157"/>
    </row>
    <row r="22" spans="1:14">
      <c r="A22" s="769" t="s">
        <v>878</v>
      </c>
      <c r="B22" s="770"/>
      <c r="C22" s="770" t="s">
        <v>879</v>
      </c>
      <c r="D22" s="770"/>
      <c r="E22" s="770" t="s">
        <v>880</v>
      </c>
      <c r="F22" s="771"/>
      <c r="G22" s="772" t="s">
        <v>881</v>
      </c>
      <c r="H22" s="773"/>
      <c r="I22" s="772" t="s">
        <v>515</v>
      </c>
      <c r="J22" s="773"/>
      <c r="K22" s="773" t="s">
        <v>516</v>
      </c>
      <c r="L22" s="772"/>
      <c r="M22" s="774" t="s">
        <v>517</v>
      </c>
    </row>
    <row r="23" spans="1:14" ht="16">
      <c r="A23" s="759" t="s">
        <v>169</v>
      </c>
      <c r="B23" s="775"/>
      <c r="C23" s="776" t="s">
        <v>882</v>
      </c>
      <c r="D23" s="777"/>
      <c r="E23" s="778">
        <v>89.99</v>
      </c>
      <c r="F23" s="779"/>
      <c r="G23" s="780">
        <v>200</v>
      </c>
      <c r="H23" s="781"/>
      <c r="I23" s="780">
        <v>12</v>
      </c>
      <c r="J23" s="780"/>
      <c r="K23" s="780">
        <v>10</v>
      </c>
      <c r="L23" s="780"/>
      <c r="M23" s="782">
        <v>8</v>
      </c>
    </row>
    <row r="24" spans="1:14">
      <c r="A24" s="759" t="s">
        <v>883</v>
      </c>
      <c r="B24" s="775"/>
      <c r="C24" s="777" t="s">
        <v>882</v>
      </c>
      <c r="D24" s="777"/>
      <c r="E24" s="778">
        <v>39.99</v>
      </c>
      <c r="F24" s="779"/>
      <c r="G24" s="780">
        <v>750</v>
      </c>
      <c r="H24" s="780"/>
      <c r="I24" s="780">
        <v>10</v>
      </c>
      <c r="J24" s="780"/>
      <c r="K24" s="780">
        <v>5</v>
      </c>
      <c r="L24" s="780"/>
      <c r="M24" s="783">
        <v>8</v>
      </c>
    </row>
    <row r="25" spans="1:14">
      <c r="A25" s="759" t="s">
        <v>885</v>
      </c>
      <c r="B25" s="775"/>
      <c r="C25" s="777" t="s">
        <v>882</v>
      </c>
      <c r="D25" s="777"/>
      <c r="E25" s="778">
        <v>29.99</v>
      </c>
      <c r="F25" s="779"/>
      <c r="G25" s="780">
        <v>500</v>
      </c>
      <c r="H25" s="780"/>
      <c r="I25" s="780">
        <v>20</v>
      </c>
      <c r="J25" s="780"/>
      <c r="K25" s="780">
        <v>6</v>
      </c>
      <c r="L25" s="780"/>
      <c r="M25" s="783">
        <v>6</v>
      </c>
    </row>
    <row r="26" spans="1:14">
      <c r="A26" s="759" t="s">
        <v>886</v>
      </c>
      <c r="B26" s="775"/>
      <c r="C26" s="777" t="s">
        <v>882</v>
      </c>
      <c r="D26" s="777"/>
      <c r="E26" s="778">
        <v>14.99</v>
      </c>
      <c r="F26" s="779"/>
      <c r="G26" s="780">
        <v>420</v>
      </c>
      <c r="H26" s="780"/>
      <c r="I26" s="780">
        <v>48</v>
      </c>
      <c r="J26" s="780"/>
      <c r="K26" s="780">
        <v>1</v>
      </c>
      <c r="L26" s="780"/>
      <c r="M26" s="783">
        <v>30</v>
      </c>
    </row>
    <row r="27" spans="1:14" ht="16" thickBot="1">
      <c r="A27" s="784" t="s">
        <v>992</v>
      </c>
      <c r="B27" s="785"/>
      <c r="C27" s="786" t="s">
        <v>884</v>
      </c>
      <c r="D27" s="786"/>
      <c r="E27" s="787">
        <v>0</v>
      </c>
      <c r="F27" s="788"/>
      <c r="G27" s="789">
        <v>0</v>
      </c>
      <c r="H27" s="789"/>
      <c r="I27" s="789">
        <v>0</v>
      </c>
      <c r="J27" s="789"/>
      <c r="K27" s="789">
        <v>0</v>
      </c>
      <c r="L27" s="789"/>
      <c r="M27" s="790">
        <v>0</v>
      </c>
    </row>
    <row r="28" spans="1:14" ht="16" thickBot="1">
      <c r="B28" s="757"/>
      <c r="D28" s="791"/>
      <c r="G28" s="792"/>
      <c r="I28" s="793"/>
      <c r="L28" s="792"/>
    </row>
    <row r="29" spans="1:14" ht="16" thickBot="1">
      <c r="A29" s="1158" t="s">
        <v>993</v>
      </c>
      <c r="B29" s="1159"/>
      <c r="C29" s="1159"/>
      <c r="D29" s="1159"/>
      <c r="E29" s="1159"/>
      <c r="F29" s="1159"/>
      <c r="G29" s="1159"/>
      <c r="H29" s="1159"/>
      <c r="I29" s="1159"/>
      <c r="J29" s="1159"/>
      <c r="K29" s="1159"/>
      <c r="L29" s="1159"/>
      <c r="M29" s="1160"/>
    </row>
    <row r="30" spans="1:14">
      <c r="A30" s="795"/>
      <c r="B30" s="796"/>
      <c r="C30" s="797"/>
      <c r="D30" s="796"/>
      <c r="E30" s="797"/>
      <c r="F30" s="798"/>
      <c r="G30" s="799"/>
      <c r="H30" s="800"/>
      <c r="I30" s="799"/>
      <c r="J30" s="800"/>
      <c r="K30" s="800"/>
      <c r="L30" s="799"/>
      <c r="M30" s="801"/>
    </row>
    <row r="31" spans="1:14">
      <c r="A31" s="795" t="s">
        <v>874</v>
      </c>
      <c r="B31" s="796"/>
      <c r="C31" s="797" t="s">
        <v>1064</v>
      </c>
      <c r="D31" s="796"/>
      <c r="E31" s="797"/>
      <c r="F31" s="798"/>
      <c r="G31" s="799"/>
      <c r="H31" s="800"/>
      <c r="I31" s="799"/>
      <c r="J31" s="800"/>
      <c r="K31" s="800"/>
      <c r="L31" s="799"/>
      <c r="M31" s="801"/>
    </row>
    <row r="32" spans="1:14">
      <c r="A32" s="795" t="s">
        <v>876</v>
      </c>
      <c r="B32" s="796"/>
      <c r="C32" s="802">
        <v>46661</v>
      </c>
      <c r="D32" s="796"/>
      <c r="E32" s="803"/>
      <c r="F32" s="798"/>
      <c r="G32" s="799"/>
      <c r="H32" s="800"/>
      <c r="I32" s="799"/>
      <c r="J32" s="804"/>
      <c r="K32" s="800"/>
      <c r="L32" s="799"/>
      <c r="M32" s="801"/>
    </row>
    <row r="33" spans="1:14" ht="16" thickBot="1">
      <c r="A33" s="795"/>
      <c r="B33" s="796"/>
      <c r="C33" s="797"/>
      <c r="D33" s="796"/>
      <c r="E33" s="797"/>
      <c r="F33" s="798"/>
      <c r="G33" s="799"/>
      <c r="H33" s="800"/>
      <c r="I33" s="799"/>
      <c r="J33" s="800"/>
      <c r="K33" s="800"/>
      <c r="L33" s="799"/>
      <c r="M33" s="801"/>
    </row>
    <row r="34" spans="1:14" ht="16" thickBot="1">
      <c r="A34" s="1158" t="s">
        <v>877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60"/>
    </row>
    <row r="35" spans="1:14">
      <c r="A35" s="805" t="s">
        <v>878</v>
      </c>
      <c r="B35" s="806"/>
      <c r="C35" s="806" t="s">
        <v>879</v>
      </c>
      <c r="D35" s="806"/>
      <c r="E35" s="806" t="s">
        <v>880</v>
      </c>
      <c r="F35" s="807"/>
      <c r="G35" s="808" t="s">
        <v>881</v>
      </c>
      <c r="H35" s="809"/>
      <c r="I35" s="808" t="s">
        <v>515</v>
      </c>
      <c r="J35" s="809"/>
      <c r="K35" s="809" t="s">
        <v>516</v>
      </c>
      <c r="L35" s="808"/>
      <c r="M35" s="810" t="s">
        <v>517</v>
      </c>
    </row>
    <row r="36" spans="1:14" ht="16">
      <c r="A36" s="795" t="s">
        <v>169</v>
      </c>
      <c r="B36" s="811"/>
      <c r="C36" s="812" t="s">
        <v>882</v>
      </c>
      <c r="D36" s="813"/>
      <c r="E36" s="814">
        <v>149.99</v>
      </c>
      <c r="F36" s="815"/>
      <c r="G36" s="816">
        <v>350</v>
      </c>
      <c r="H36" s="817"/>
      <c r="I36" s="816">
        <v>12</v>
      </c>
      <c r="J36" s="816"/>
      <c r="K36" s="816">
        <v>12</v>
      </c>
      <c r="L36" s="816"/>
      <c r="M36" s="818">
        <v>5</v>
      </c>
    </row>
    <row r="37" spans="1:14">
      <c r="A37" s="795" t="s">
        <v>883</v>
      </c>
      <c r="B37" s="811"/>
      <c r="C37" s="813" t="s">
        <v>882</v>
      </c>
      <c r="D37" s="813"/>
      <c r="E37" s="814">
        <v>39.99</v>
      </c>
      <c r="F37" s="815"/>
      <c r="G37" s="816">
        <v>300</v>
      </c>
      <c r="H37" s="816"/>
      <c r="I37" s="816">
        <v>10</v>
      </c>
      <c r="J37" s="816"/>
      <c r="K37" s="816">
        <v>4</v>
      </c>
      <c r="L37" s="816"/>
      <c r="M37" s="819">
        <v>5</v>
      </c>
    </row>
    <row r="38" spans="1:14" s="820" customFormat="1">
      <c r="A38" s="795" t="s">
        <v>885</v>
      </c>
      <c r="B38" s="811"/>
      <c r="C38" s="813" t="s">
        <v>882</v>
      </c>
      <c r="D38" s="813"/>
      <c r="E38" s="814">
        <v>24.99</v>
      </c>
      <c r="F38" s="815"/>
      <c r="G38" s="816">
        <v>250</v>
      </c>
      <c r="H38" s="816"/>
      <c r="I38" s="816">
        <v>20</v>
      </c>
      <c r="J38" s="816"/>
      <c r="K38" s="816">
        <v>3</v>
      </c>
      <c r="L38" s="816"/>
      <c r="M38" s="819">
        <v>4</v>
      </c>
      <c r="N38" s="821"/>
    </row>
    <row r="39" spans="1:14">
      <c r="A39" s="795" t="s">
        <v>886</v>
      </c>
      <c r="B39" s="811"/>
      <c r="C39" s="813" t="s">
        <v>884</v>
      </c>
      <c r="D39" s="813"/>
      <c r="E39" s="814">
        <v>0</v>
      </c>
      <c r="F39" s="815"/>
      <c r="G39" s="816">
        <v>0</v>
      </c>
      <c r="H39" s="816"/>
      <c r="I39" s="816">
        <v>0</v>
      </c>
      <c r="J39" s="816"/>
      <c r="K39" s="816">
        <v>0</v>
      </c>
      <c r="L39" s="816"/>
      <c r="M39" s="819">
        <v>0</v>
      </c>
    </row>
    <row r="40" spans="1:14" ht="16" thickBot="1">
      <c r="A40" s="822" t="s">
        <v>992</v>
      </c>
      <c r="B40" s="823"/>
      <c r="C40" s="824" t="s">
        <v>884</v>
      </c>
      <c r="D40" s="824"/>
      <c r="E40" s="825">
        <v>0</v>
      </c>
      <c r="F40" s="826"/>
      <c r="G40" s="827">
        <v>0</v>
      </c>
      <c r="H40" s="827"/>
      <c r="I40" s="827">
        <v>0</v>
      </c>
      <c r="J40" s="827"/>
      <c r="K40" s="827">
        <v>0</v>
      </c>
      <c r="L40" s="827"/>
      <c r="M40" s="828">
        <v>0</v>
      </c>
    </row>
    <row r="41" spans="1:14" ht="16" thickBot="1">
      <c r="B41" s="757"/>
      <c r="C41" s="551"/>
      <c r="D41" s="551"/>
      <c r="E41" s="551"/>
      <c r="G41" s="792"/>
      <c r="H41" s="746"/>
      <c r="I41" s="746"/>
      <c r="L41" s="792"/>
      <c r="M41" s="746"/>
    </row>
    <row r="42" spans="1:14" ht="16" thickBot="1">
      <c r="A42" s="1161" t="s">
        <v>994</v>
      </c>
      <c r="B42" s="1162"/>
      <c r="C42" s="1162"/>
      <c r="D42" s="1162"/>
      <c r="E42" s="1162"/>
      <c r="F42" s="1162"/>
      <c r="G42" s="1162"/>
      <c r="H42" s="1162"/>
      <c r="I42" s="1162"/>
      <c r="J42" s="1162"/>
      <c r="K42" s="1162"/>
      <c r="L42" s="1162"/>
      <c r="M42" s="1163"/>
    </row>
    <row r="43" spans="1:14">
      <c r="A43" s="829"/>
      <c r="B43" s="830"/>
      <c r="C43" s="831"/>
      <c r="D43" s="830"/>
      <c r="E43" s="831"/>
      <c r="F43" s="832"/>
      <c r="G43" s="833"/>
      <c r="H43" s="834"/>
      <c r="I43" s="833"/>
      <c r="J43" s="834"/>
      <c r="K43" s="834"/>
      <c r="L43" s="833"/>
      <c r="M43" s="835"/>
    </row>
    <row r="44" spans="1:14">
      <c r="A44" s="829" t="s">
        <v>874</v>
      </c>
      <c r="B44" s="830"/>
      <c r="C44" s="831" t="s">
        <v>1059</v>
      </c>
      <c r="D44" s="830"/>
      <c r="E44" s="831"/>
      <c r="F44" s="832"/>
      <c r="G44" s="833"/>
      <c r="H44" s="834"/>
      <c r="I44" s="833"/>
      <c r="J44" s="834"/>
      <c r="K44" s="834"/>
      <c r="L44" s="833"/>
      <c r="M44" s="835"/>
    </row>
    <row r="45" spans="1:14">
      <c r="A45" s="829" t="s">
        <v>876</v>
      </c>
      <c r="B45" s="830"/>
      <c r="C45" s="836">
        <v>46905</v>
      </c>
      <c r="D45" s="830"/>
      <c r="E45" s="837"/>
      <c r="F45" s="832"/>
      <c r="G45" s="833"/>
      <c r="H45" s="834"/>
      <c r="I45" s="833"/>
      <c r="J45" s="838"/>
      <c r="K45" s="834"/>
      <c r="L45" s="833"/>
      <c r="M45" s="835"/>
    </row>
    <row r="46" spans="1:14" ht="16" thickBot="1">
      <c r="A46" s="829"/>
      <c r="B46" s="830"/>
      <c r="C46" s="831"/>
      <c r="D46" s="830"/>
      <c r="E46" s="831"/>
      <c r="F46" s="832"/>
      <c r="G46" s="833"/>
      <c r="H46" s="834"/>
      <c r="I46" s="833"/>
      <c r="J46" s="834"/>
      <c r="K46" s="834"/>
      <c r="L46" s="833"/>
      <c r="M46" s="835"/>
    </row>
    <row r="47" spans="1:14" ht="16" thickBot="1">
      <c r="A47" s="1161" t="s">
        <v>877</v>
      </c>
      <c r="B47" s="1162"/>
      <c r="C47" s="1162"/>
      <c r="D47" s="1162"/>
      <c r="E47" s="1162"/>
      <c r="F47" s="1162"/>
      <c r="G47" s="1162"/>
      <c r="H47" s="1162"/>
      <c r="I47" s="1162"/>
      <c r="J47" s="1162"/>
      <c r="K47" s="1162"/>
      <c r="L47" s="1162"/>
      <c r="M47" s="1163"/>
    </row>
    <row r="48" spans="1:14">
      <c r="A48" s="839" t="s">
        <v>878</v>
      </c>
      <c r="B48" s="840"/>
      <c r="C48" s="840" t="s">
        <v>879</v>
      </c>
      <c r="D48" s="840"/>
      <c r="E48" s="840" t="s">
        <v>880</v>
      </c>
      <c r="F48" s="841"/>
      <c r="G48" s="842" t="s">
        <v>881</v>
      </c>
      <c r="H48" s="843"/>
      <c r="I48" s="842" t="s">
        <v>515</v>
      </c>
      <c r="J48" s="843"/>
      <c r="K48" s="843" t="s">
        <v>516</v>
      </c>
      <c r="L48" s="842"/>
      <c r="M48" s="844" t="s">
        <v>517</v>
      </c>
    </row>
    <row r="49" spans="1:13" ht="16">
      <c r="A49" s="829" t="s">
        <v>169</v>
      </c>
      <c r="B49" s="845"/>
      <c r="C49" s="846" t="s">
        <v>882</v>
      </c>
      <c r="D49" s="847"/>
      <c r="E49" s="848">
        <v>89.99</v>
      </c>
      <c r="F49" s="849"/>
      <c r="G49" s="850">
        <v>280</v>
      </c>
      <c r="H49" s="851"/>
      <c r="I49" s="850">
        <v>12</v>
      </c>
      <c r="J49" s="850"/>
      <c r="K49" s="850">
        <v>10</v>
      </c>
      <c r="L49" s="850"/>
      <c r="M49" s="852">
        <v>8</v>
      </c>
    </row>
    <row r="50" spans="1:13">
      <c r="A50" s="829" t="s">
        <v>883</v>
      </c>
      <c r="B50" s="845"/>
      <c r="C50" s="847" t="s">
        <v>882</v>
      </c>
      <c r="D50" s="847"/>
      <c r="E50" s="848">
        <v>39.99</v>
      </c>
      <c r="F50" s="849"/>
      <c r="G50" s="850">
        <v>1050</v>
      </c>
      <c r="H50" s="850"/>
      <c r="I50" s="850">
        <v>10</v>
      </c>
      <c r="J50" s="850"/>
      <c r="K50" s="850">
        <v>5</v>
      </c>
      <c r="L50" s="850"/>
      <c r="M50" s="853">
        <v>8</v>
      </c>
    </row>
    <row r="51" spans="1:13">
      <c r="A51" s="829" t="s">
        <v>885</v>
      </c>
      <c r="B51" s="845"/>
      <c r="C51" s="847" t="s">
        <v>882</v>
      </c>
      <c r="D51" s="847"/>
      <c r="E51" s="848">
        <v>29.99</v>
      </c>
      <c r="F51" s="849"/>
      <c r="G51" s="850">
        <v>700</v>
      </c>
      <c r="H51" s="850"/>
      <c r="I51" s="850">
        <v>20</v>
      </c>
      <c r="J51" s="850"/>
      <c r="K51" s="850">
        <v>6</v>
      </c>
      <c r="L51" s="850"/>
      <c r="M51" s="853">
        <v>6</v>
      </c>
    </row>
    <row r="52" spans="1:13" s="619" customFormat="1">
      <c r="A52" s="829" t="s">
        <v>886</v>
      </c>
      <c r="B52" s="845"/>
      <c r="C52" s="847" t="s">
        <v>882</v>
      </c>
      <c r="D52" s="847"/>
      <c r="E52" s="848">
        <v>14.99</v>
      </c>
      <c r="F52" s="849"/>
      <c r="G52" s="850">
        <v>588</v>
      </c>
      <c r="H52" s="850"/>
      <c r="I52" s="850">
        <v>48</v>
      </c>
      <c r="J52" s="850"/>
      <c r="K52" s="850">
        <v>1</v>
      </c>
      <c r="L52" s="850"/>
      <c r="M52" s="853">
        <v>30</v>
      </c>
    </row>
    <row r="53" spans="1:13" s="619" customFormat="1" ht="16" thickBot="1">
      <c r="A53" s="854" t="s">
        <v>992</v>
      </c>
      <c r="B53" s="855"/>
      <c r="C53" s="856" t="s">
        <v>884</v>
      </c>
      <c r="D53" s="856"/>
      <c r="E53" s="857">
        <v>0</v>
      </c>
      <c r="F53" s="858"/>
      <c r="G53" s="859">
        <v>0</v>
      </c>
      <c r="H53" s="859"/>
      <c r="I53" s="859">
        <v>0</v>
      </c>
      <c r="J53" s="859"/>
      <c r="K53" s="859">
        <v>0</v>
      </c>
      <c r="L53" s="859"/>
      <c r="M53" s="860">
        <v>0</v>
      </c>
    </row>
    <row r="54" spans="1:13" s="619" customFormat="1" ht="16" thickBot="1">
      <c r="A54" s="556"/>
      <c r="B54" s="791"/>
      <c r="C54" s="556"/>
      <c r="D54" s="791"/>
      <c r="E54" s="558"/>
      <c r="F54" s="745"/>
      <c r="G54" s="793"/>
      <c r="H54" s="747"/>
      <c r="I54" s="793"/>
      <c r="J54" s="747"/>
      <c r="K54" s="747"/>
      <c r="L54" s="793"/>
      <c r="M54" s="747"/>
    </row>
    <row r="55" spans="1:13" s="619" customFormat="1" ht="16" thickBot="1">
      <c r="A55" s="1148" t="s">
        <v>995</v>
      </c>
      <c r="B55" s="1149"/>
      <c r="C55" s="1149"/>
      <c r="D55" s="1149"/>
      <c r="E55" s="1149"/>
      <c r="F55" s="1149"/>
      <c r="G55" s="1149"/>
      <c r="H55" s="1149"/>
      <c r="I55" s="1149"/>
      <c r="J55" s="1149"/>
      <c r="K55" s="1149"/>
      <c r="L55" s="1149"/>
      <c r="M55" s="1150"/>
    </row>
    <row r="56" spans="1:13" s="619" customFormat="1">
      <c r="A56" s="861"/>
      <c r="B56" s="862"/>
      <c r="C56" s="863"/>
      <c r="D56" s="862"/>
      <c r="E56" s="863"/>
      <c r="F56" s="864"/>
      <c r="G56" s="865"/>
      <c r="H56" s="866"/>
      <c r="I56" s="865"/>
      <c r="J56" s="866"/>
      <c r="K56" s="866"/>
      <c r="L56" s="865"/>
      <c r="M56" s="867"/>
    </row>
    <row r="57" spans="1:13" s="619" customFormat="1">
      <c r="A57" s="861" t="s">
        <v>874</v>
      </c>
      <c r="B57" s="862"/>
      <c r="C57" s="863" t="s">
        <v>1068</v>
      </c>
      <c r="D57" s="862"/>
      <c r="E57" s="863"/>
      <c r="F57" s="864"/>
      <c r="G57" s="865"/>
      <c r="H57" s="866"/>
      <c r="I57" s="865"/>
      <c r="J57" s="866"/>
      <c r="K57" s="866"/>
      <c r="L57" s="865"/>
      <c r="M57" s="867"/>
    </row>
    <row r="58" spans="1:13" s="619" customFormat="1">
      <c r="A58" s="861" t="s">
        <v>876</v>
      </c>
      <c r="B58" s="862"/>
      <c r="C58" s="868">
        <v>47027</v>
      </c>
      <c r="D58" s="862"/>
      <c r="E58" s="869"/>
      <c r="F58" s="864"/>
      <c r="G58" s="865"/>
      <c r="H58" s="866"/>
      <c r="I58" s="865"/>
      <c r="J58" s="870"/>
      <c r="K58" s="866"/>
      <c r="L58" s="865"/>
      <c r="M58" s="867"/>
    </row>
    <row r="59" spans="1:13" s="619" customFormat="1" ht="16" thickBot="1">
      <c r="A59" s="861"/>
      <c r="B59" s="862"/>
      <c r="C59" s="863"/>
      <c r="D59" s="862"/>
      <c r="E59" s="863"/>
      <c r="F59" s="864"/>
      <c r="G59" s="865"/>
      <c r="H59" s="866"/>
      <c r="I59" s="865"/>
      <c r="J59" s="866"/>
      <c r="K59" s="866"/>
      <c r="L59" s="865"/>
      <c r="M59" s="867"/>
    </row>
    <row r="60" spans="1:13" s="619" customFormat="1" ht="16" thickBot="1">
      <c r="A60" s="1148" t="s">
        <v>877</v>
      </c>
      <c r="B60" s="1149"/>
      <c r="C60" s="1149"/>
      <c r="D60" s="1149"/>
      <c r="E60" s="1149"/>
      <c r="F60" s="1149"/>
      <c r="G60" s="1149"/>
      <c r="H60" s="1149"/>
      <c r="I60" s="1149"/>
      <c r="J60" s="1149"/>
      <c r="K60" s="1149"/>
      <c r="L60" s="1149"/>
      <c r="M60" s="1150"/>
    </row>
    <row r="61" spans="1:13" s="619" customFormat="1">
      <c r="A61" s="871" t="s">
        <v>878</v>
      </c>
      <c r="B61" s="872"/>
      <c r="C61" s="872" t="s">
        <v>879</v>
      </c>
      <c r="D61" s="872"/>
      <c r="E61" s="872" t="s">
        <v>880</v>
      </c>
      <c r="F61" s="873"/>
      <c r="G61" s="874" t="s">
        <v>881</v>
      </c>
      <c r="H61" s="875"/>
      <c r="I61" s="874" t="s">
        <v>515</v>
      </c>
      <c r="J61" s="875"/>
      <c r="K61" s="875" t="s">
        <v>516</v>
      </c>
      <c r="L61" s="874"/>
      <c r="M61" s="876" t="s">
        <v>517</v>
      </c>
    </row>
    <row r="62" spans="1:13" s="619" customFormat="1">
      <c r="A62" s="861" t="s">
        <v>169</v>
      </c>
      <c r="B62" s="877"/>
      <c r="C62" s="878" t="s">
        <v>882</v>
      </c>
      <c r="D62" s="878"/>
      <c r="E62" s="879">
        <v>149.99</v>
      </c>
      <c r="F62" s="880"/>
      <c r="G62" s="881">
        <v>490</v>
      </c>
      <c r="H62" s="882"/>
      <c r="I62" s="881">
        <v>12</v>
      </c>
      <c r="J62" s="881"/>
      <c r="K62" s="881">
        <v>12</v>
      </c>
      <c r="L62" s="881"/>
      <c r="M62" s="883">
        <v>5</v>
      </c>
    </row>
    <row r="63" spans="1:13" s="619" customFormat="1">
      <c r="A63" s="861" t="s">
        <v>883</v>
      </c>
      <c r="B63" s="877"/>
      <c r="C63" s="878" t="s">
        <v>882</v>
      </c>
      <c r="D63" s="878"/>
      <c r="E63" s="879">
        <v>39.99</v>
      </c>
      <c r="F63" s="880"/>
      <c r="G63" s="881">
        <v>420</v>
      </c>
      <c r="H63" s="881"/>
      <c r="I63" s="881">
        <v>10</v>
      </c>
      <c r="J63" s="881"/>
      <c r="K63" s="881">
        <v>4</v>
      </c>
      <c r="L63" s="881"/>
      <c r="M63" s="884">
        <v>5</v>
      </c>
    </row>
    <row r="64" spans="1:13" s="619" customFormat="1">
      <c r="A64" s="861" t="s">
        <v>885</v>
      </c>
      <c r="B64" s="877"/>
      <c r="C64" s="878" t="s">
        <v>882</v>
      </c>
      <c r="D64" s="878"/>
      <c r="E64" s="879">
        <v>24.99</v>
      </c>
      <c r="F64" s="880"/>
      <c r="G64" s="881">
        <v>350</v>
      </c>
      <c r="H64" s="881"/>
      <c r="I64" s="881">
        <v>20</v>
      </c>
      <c r="J64" s="881"/>
      <c r="K64" s="881">
        <v>3</v>
      </c>
      <c r="L64" s="881"/>
      <c r="M64" s="884">
        <v>4</v>
      </c>
    </row>
    <row r="65" spans="1:13" s="619" customFormat="1">
      <c r="A65" s="861" t="s">
        <v>886</v>
      </c>
      <c r="B65" s="877"/>
      <c r="C65" s="878" t="s">
        <v>884</v>
      </c>
      <c r="D65" s="878"/>
      <c r="E65" s="879">
        <v>0</v>
      </c>
      <c r="F65" s="880"/>
      <c r="G65" s="881">
        <v>0</v>
      </c>
      <c r="H65" s="881"/>
      <c r="I65" s="881">
        <v>0</v>
      </c>
      <c r="J65" s="881"/>
      <c r="K65" s="881">
        <v>0</v>
      </c>
      <c r="L65" s="881"/>
      <c r="M65" s="884">
        <v>0</v>
      </c>
    </row>
    <row r="66" spans="1:13" ht="16" thickBot="1">
      <c r="A66" s="886" t="s">
        <v>992</v>
      </c>
      <c r="B66" s="887"/>
      <c r="C66" s="888" t="s">
        <v>884</v>
      </c>
      <c r="D66" s="888"/>
      <c r="E66" s="889">
        <v>0</v>
      </c>
      <c r="F66" s="890"/>
      <c r="G66" s="891">
        <v>0</v>
      </c>
      <c r="H66" s="891"/>
      <c r="I66" s="891">
        <v>0</v>
      </c>
      <c r="J66" s="891"/>
      <c r="K66" s="891">
        <v>0</v>
      </c>
      <c r="L66" s="891"/>
      <c r="M66" s="892">
        <v>0</v>
      </c>
    </row>
    <row r="67" spans="1:13" ht="16" thickBot="1"/>
    <row r="68" spans="1:13" ht="16" thickBot="1">
      <c r="A68" s="1151" t="s">
        <v>996</v>
      </c>
      <c r="B68" s="1152"/>
      <c r="C68" s="1152"/>
      <c r="D68" s="1152"/>
      <c r="E68" s="1152"/>
      <c r="F68" s="1152"/>
      <c r="G68" s="1152"/>
      <c r="H68" s="1152"/>
      <c r="I68" s="1152"/>
      <c r="J68" s="1152"/>
      <c r="K68" s="1152"/>
      <c r="L68" s="1152"/>
      <c r="M68" s="1153"/>
    </row>
    <row r="69" spans="1:13">
      <c r="A69" s="893"/>
      <c r="B69" s="894"/>
      <c r="C69" s="895"/>
      <c r="D69" s="894"/>
      <c r="E69" s="895"/>
      <c r="F69" s="896"/>
      <c r="G69" s="897"/>
      <c r="H69" s="898"/>
      <c r="I69" s="897"/>
      <c r="J69" s="898"/>
      <c r="K69" s="898"/>
      <c r="L69" s="897"/>
      <c r="M69" s="899"/>
    </row>
    <row r="70" spans="1:13">
      <c r="A70" s="893" t="s">
        <v>874</v>
      </c>
      <c r="B70" s="894"/>
      <c r="C70" s="895" t="s">
        <v>1061</v>
      </c>
      <c r="D70" s="894"/>
      <c r="E70" s="895"/>
      <c r="F70" s="896"/>
      <c r="G70" s="897"/>
      <c r="H70" s="898"/>
      <c r="I70" s="897"/>
      <c r="J70" s="898"/>
      <c r="K70" s="898"/>
      <c r="L70" s="897"/>
      <c r="M70" s="899"/>
    </row>
    <row r="71" spans="1:13">
      <c r="A71" s="893" t="s">
        <v>876</v>
      </c>
      <c r="B71" s="894"/>
      <c r="C71" s="900">
        <v>47270</v>
      </c>
      <c r="D71" s="894"/>
      <c r="E71" s="901"/>
      <c r="F71" s="896"/>
      <c r="G71" s="897"/>
      <c r="H71" s="898"/>
      <c r="I71" s="897"/>
      <c r="J71" s="902"/>
      <c r="K71" s="898"/>
      <c r="L71" s="897"/>
      <c r="M71" s="899"/>
    </row>
    <row r="72" spans="1:13" ht="16" thickBot="1">
      <c r="A72" s="893"/>
      <c r="B72" s="894"/>
      <c r="C72" s="895"/>
      <c r="D72" s="894"/>
      <c r="E72" s="895"/>
      <c r="F72" s="896"/>
      <c r="G72" s="897"/>
      <c r="H72" s="898"/>
      <c r="I72" s="897"/>
      <c r="J72" s="898"/>
      <c r="K72" s="898"/>
      <c r="L72" s="897"/>
      <c r="M72" s="899"/>
    </row>
    <row r="73" spans="1:13" ht="16" thickBot="1">
      <c r="A73" s="1151" t="s">
        <v>877</v>
      </c>
      <c r="B73" s="1152"/>
      <c r="C73" s="1152"/>
      <c r="D73" s="1152"/>
      <c r="E73" s="1152"/>
      <c r="F73" s="1152"/>
      <c r="G73" s="1152"/>
      <c r="H73" s="1152"/>
      <c r="I73" s="1152"/>
      <c r="J73" s="1152"/>
      <c r="K73" s="1152"/>
      <c r="L73" s="1152"/>
      <c r="M73" s="1153"/>
    </row>
    <row r="74" spans="1:13">
      <c r="A74" s="903" t="s">
        <v>878</v>
      </c>
      <c r="B74" s="904"/>
      <c r="C74" s="904" t="s">
        <v>879</v>
      </c>
      <c r="D74" s="904"/>
      <c r="E74" s="904" t="s">
        <v>880</v>
      </c>
      <c r="F74" s="905"/>
      <c r="G74" s="906" t="s">
        <v>881</v>
      </c>
      <c r="H74" s="907"/>
      <c r="I74" s="906" t="s">
        <v>515</v>
      </c>
      <c r="J74" s="907"/>
      <c r="K74" s="907" t="s">
        <v>516</v>
      </c>
      <c r="L74" s="906"/>
      <c r="M74" s="908" t="s">
        <v>517</v>
      </c>
    </row>
    <row r="75" spans="1:13">
      <c r="A75" s="893" t="s">
        <v>169</v>
      </c>
      <c r="B75" s="909"/>
      <c r="C75" s="910" t="s">
        <v>882</v>
      </c>
      <c r="D75" s="910"/>
      <c r="E75" s="911">
        <v>89.99</v>
      </c>
      <c r="F75" s="912"/>
      <c r="G75" s="913">
        <v>378</v>
      </c>
      <c r="H75" s="914"/>
      <c r="I75" s="913">
        <v>12</v>
      </c>
      <c r="J75" s="913"/>
      <c r="K75" s="913">
        <v>10</v>
      </c>
      <c r="L75" s="913"/>
      <c r="M75" s="915">
        <v>8</v>
      </c>
    </row>
    <row r="76" spans="1:13">
      <c r="A76" s="893" t="s">
        <v>883</v>
      </c>
      <c r="B76" s="909"/>
      <c r="C76" s="910" t="s">
        <v>882</v>
      </c>
      <c r="D76" s="910"/>
      <c r="E76" s="911">
        <v>39.99</v>
      </c>
      <c r="F76" s="912"/>
      <c r="G76" s="913">
        <v>1418</v>
      </c>
      <c r="H76" s="913"/>
      <c r="I76" s="913">
        <v>10</v>
      </c>
      <c r="J76" s="913"/>
      <c r="K76" s="913">
        <v>5</v>
      </c>
      <c r="L76" s="913"/>
      <c r="M76" s="916">
        <v>8</v>
      </c>
    </row>
    <row r="77" spans="1:13">
      <c r="A77" s="893" t="s">
        <v>885</v>
      </c>
      <c r="B77" s="909"/>
      <c r="C77" s="910" t="s">
        <v>882</v>
      </c>
      <c r="D77" s="910"/>
      <c r="E77" s="911">
        <v>29.99</v>
      </c>
      <c r="F77" s="912"/>
      <c r="G77" s="913">
        <v>945</v>
      </c>
      <c r="H77" s="913"/>
      <c r="I77" s="913">
        <v>20</v>
      </c>
      <c r="J77" s="913"/>
      <c r="K77" s="913">
        <v>6</v>
      </c>
      <c r="L77" s="913"/>
      <c r="M77" s="916">
        <v>6</v>
      </c>
    </row>
    <row r="78" spans="1:13">
      <c r="A78" s="893" t="s">
        <v>886</v>
      </c>
      <c r="B78" s="909"/>
      <c r="C78" s="910" t="s">
        <v>882</v>
      </c>
      <c r="D78" s="910"/>
      <c r="E78" s="911">
        <v>14.99</v>
      </c>
      <c r="F78" s="912"/>
      <c r="G78" s="913">
        <v>794</v>
      </c>
      <c r="H78" s="913"/>
      <c r="I78" s="913">
        <v>48</v>
      </c>
      <c r="J78" s="913"/>
      <c r="K78" s="913">
        <v>1</v>
      </c>
      <c r="L78" s="913"/>
      <c r="M78" s="916">
        <v>30</v>
      </c>
    </row>
    <row r="79" spans="1:13" ht="16" thickBot="1">
      <c r="A79" s="917" t="s">
        <v>992</v>
      </c>
      <c r="B79" s="918"/>
      <c r="C79" s="919" t="s">
        <v>884</v>
      </c>
      <c r="D79" s="919"/>
      <c r="E79" s="920">
        <v>0</v>
      </c>
      <c r="F79" s="921"/>
      <c r="G79" s="922">
        <v>0</v>
      </c>
      <c r="H79" s="922"/>
      <c r="I79" s="922">
        <v>0</v>
      </c>
      <c r="J79" s="922"/>
      <c r="K79" s="922">
        <v>0</v>
      </c>
      <c r="L79" s="922"/>
      <c r="M79" s="923">
        <v>0</v>
      </c>
    </row>
    <row r="80" spans="1:13" ht="16" thickBot="1"/>
    <row r="81" spans="1:13" ht="16" thickBot="1">
      <c r="A81" s="1145" t="s">
        <v>997</v>
      </c>
      <c r="B81" s="1146"/>
      <c r="C81" s="1146"/>
      <c r="D81" s="1146"/>
      <c r="E81" s="1146"/>
      <c r="F81" s="1146"/>
      <c r="G81" s="1146"/>
      <c r="H81" s="1146"/>
      <c r="I81" s="1146"/>
      <c r="J81" s="1146"/>
      <c r="K81" s="1146"/>
      <c r="L81" s="1146"/>
      <c r="M81" s="1147"/>
    </row>
    <row r="82" spans="1:13">
      <c r="A82" s="924"/>
      <c r="B82" s="925"/>
      <c r="C82" s="926"/>
      <c r="D82" s="925"/>
      <c r="E82" s="926"/>
      <c r="F82" s="927"/>
      <c r="G82" s="928"/>
      <c r="H82" s="929"/>
      <c r="I82" s="928"/>
      <c r="J82" s="929"/>
      <c r="K82" s="929"/>
      <c r="L82" s="928"/>
      <c r="M82" s="930"/>
    </row>
    <row r="83" spans="1:13">
      <c r="A83" s="924" t="s">
        <v>874</v>
      </c>
      <c r="B83" s="925"/>
      <c r="C83" s="926" t="s">
        <v>1067</v>
      </c>
      <c r="D83" s="925"/>
      <c r="E83" s="926"/>
      <c r="F83" s="927"/>
      <c r="G83" s="928"/>
      <c r="H83" s="929"/>
      <c r="I83" s="928"/>
      <c r="J83" s="929"/>
      <c r="K83" s="929"/>
      <c r="L83" s="928"/>
      <c r="M83" s="930"/>
    </row>
    <row r="84" spans="1:13">
      <c r="A84" s="924" t="s">
        <v>876</v>
      </c>
      <c r="B84" s="925"/>
      <c r="C84" s="931">
        <v>47392</v>
      </c>
      <c r="D84" s="925"/>
      <c r="E84" s="932"/>
      <c r="F84" s="927"/>
      <c r="G84" s="928"/>
      <c r="H84" s="929"/>
      <c r="I84" s="928"/>
      <c r="J84" s="933"/>
      <c r="K84" s="929"/>
      <c r="L84" s="928"/>
      <c r="M84" s="930"/>
    </row>
    <row r="85" spans="1:13" ht="16" thickBot="1">
      <c r="A85" s="924"/>
      <c r="B85" s="925"/>
      <c r="C85" s="926"/>
      <c r="D85" s="925"/>
      <c r="E85" s="926"/>
      <c r="F85" s="927"/>
      <c r="G85" s="928"/>
      <c r="H85" s="929"/>
      <c r="I85" s="928"/>
      <c r="J85" s="929"/>
      <c r="K85" s="929"/>
      <c r="L85" s="928"/>
      <c r="M85" s="930"/>
    </row>
    <row r="86" spans="1:13" ht="16" thickBot="1">
      <c r="A86" s="1145" t="s">
        <v>877</v>
      </c>
      <c r="B86" s="1146"/>
      <c r="C86" s="1146"/>
      <c r="D86" s="1146"/>
      <c r="E86" s="1146"/>
      <c r="F86" s="1146"/>
      <c r="G86" s="1146"/>
      <c r="H86" s="1146"/>
      <c r="I86" s="1146"/>
      <c r="J86" s="1146"/>
      <c r="K86" s="1146"/>
      <c r="L86" s="1146"/>
      <c r="M86" s="1147"/>
    </row>
    <row r="87" spans="1:13">
      <c r="A87" s="934" t="s">
        <v>878</v>
      </c>
      <c r="B87" s="935"/>
      <c r="C87" s="935" t="s">
        <v>879</v>
      </c>
      <c r="D87" s="935"/>
      <c r="E87" s="935" t="s">
        <v>880</v>
      </c>
      <c r="F87" s="936"/>
      <c r="G87" s="937" t="s">
        <v>881</v>
      </c>
      <c r="H87" s="938"/>
      <c r="I87" s="937" t="s">
        <v>515</v>
      </c>
      <c r="J87" s="938"/>
      <c r="K87" s="938" t="s">
        <v>516</v>
      </c>
      <c r="L87" s="937"/>
      <c r="M87" s="939" t="s">
        <v>517</v>
      </c>
    </row>
    <row r="88" spans="1:13">
      <c r="A88" s="924" t="s">
        <v>169</v>
      </c>
      <c r="B88" s="940"/>
      <c r="C88" s="941" t="s">
        <v>882</v>
      </c>
      <c r="D88" s="941"/>
      <c r="E88" s="942">
        <v>149.99</v>
      </c>
      <c r="F88" s="943"/>
      <c r="G88" s="944">
        <v>662</v>
      </c>
      <c r="H88" s="945"/>
      <c r="I88" s="944">
        <v>12</v>
      </c>
      <c r="J88" s="944"/>
      <c r="K88" s="944">
        <v>12</v>
      </c>
      <c r="L88" s="944"/>
      <c r="M88" s="946">
        <v>5</v>
      </c>
    </row>
    <row r="89" spans="1:13">
      <c r="A89" s="924" t="s">
        <v>883</v>
      </c>
      <c r="B89" s="940"/>
      <c r="C89" s="941" t="s">
        <v>882</v>
      </c>
      <c r="D89" s="941"/>
      <c r="E89" s="942">
        <v>39.99</v>
      </c>
      <c r="F89" s="943"/>
      <c r="G89" s="944">
        <v>567</v>
      </c>
      <c r="H89" s="944"/>
      <c r="I89" s="944">
        <v>10</v>
      </c>
      <c r="J89" s="944"/>
      <c r="K89" s="944">
        <v>4</v>
      </c>
      <c r="L89" s="944"/>
      <c r="M89" s="947">
        <v>5</v>
      </c>
    </row>
    <row r="90" spans="1:13">
      <c r="A90" s="924" t="s">
        <v>885</v>
      </c>
      <c r="B90" s="940"/>
      <c r="C90" s="941" t="s">
        <v>882</v>
      </c>
      <c r="D90" s="941"/>
      <c r="E90" s="942">
        <v>24.99</v>
      </c>
      <c r="F90" s="943"/>
      <c r="G90" s="944">
        <v>473</v>
      </c>
      <c r="H90" s="944"/>
      <c r="I90" s="944">
        <v>20</v>
      </c>
      <c r="J90" s="944"/>
      <c r="K90" s="944">
        <v>3</v>
      </c>
      <c r="L90" s="944"/>
      <c r="M90" s="947">
        <v>4</v>
      </c>
    </row>
    <row r="91" spans="1:13">
      <c r="A91" s="924" t="s">
        <v>886</v>
      </c>
      <c r="B91" s="940"/>
      <c r="C91" s="941" t="s">
        <v>884</v>
      </c>
      <c r="D91" s="941"/>
      <c r="E91" s="942">
        <v>0</v>
      </c>
      <c r="F91" s="943"/>
      <c r="G91" s="944">
        <v>0</v>
      </c>
      <c r="H91" s="944"/>
      <c r="I91" s="944">
        <v>0</v>
      </c>
      <c r="J91" s="944"/>
      <c r="K91" s="944">
        <v>0</v>
      </c>
      <c r="L91" s="944"/>
      <c r="M91" s="947">
        <v>0</v>
      </c>
    </row>
    <row r="92" spans="1:13" ht="16" thickBot="1">
      <c r="A92" s="948" t="s">
        <v>992</v>
      </c>
      <c r="B92" s="949"/>
      <c r="C92" s="950" t="s">
        <v>884</v>
      </c>
      <c r="D92" s="950"/>
      <c r="E92" s="951">
        <v>0</v>
      </c>
      <c r="F92" s="952"/>
      <c r="G92" s="953">
        <v>0</v>
      </c>
      <c r="H92" s="953"/>
      <c r="I92" s="953">
        <v>0</v>
      </c>
      <c r="J92" s="953"/>
      <c r="K92" s="953">
        <v>0</v>
      </c>
      <c r="L92" s="953"/>
      <c r="M92" s="954">
        <v>0</v>
      </c>
    </row>
    <row r="93" spans="1:13" ht="16" thickBot="1"/>
    <row r="94" spans="1:13" ht="16" thickBot="1">
      <c r="A94" s="1148" t="s">
        <v>554</v>
      </c>
      <c r="B94" s="1149"/>
      <c r="C94" s="1149"/>
      <c r="D94" s="1149"/>
      <c r="E94" s="1149"/>
      <c r="F94" s="1149"/>
      <c r="G94" s="1149"/>
      <c r="H94" s="1149"/>
      <c r="I94" s="1149"/>
      <c r="J94" s="1149"/>
      <c r="K94" s="1149"/>
      <c r="L94" s="1149"/>
      <c r="M94" s="1150"/>
    </row>
    <row r="95" spans="1:13">
      <c r="A95" s="861"/>
      <c r="B95" s="862"/>
      <c r="C95" s="863"/>
      <c r="D95" s="862"/>
      <c r="E95" s="863"/>
      <c r="F95" s="864"/>
      <c r="G95" s="865"/>
      <c r="H95" s="866"/>
      <c r="I95" s="865"/>
      <c r="J95" s="866"/>
      <c r="K95" s="866"/>
      <c r="L95" s="865"/>
      <c r="M95" s="867"/>
    </row>
    <row r="96" spans="1:13">
      <c r="A96" s="861" t="s">
        <v>874</v>
      </c>
      <c r="B96" s="862"/>
      <c r="C96" s="863" t="s">
        <v>1063</v>
      </c>
      <c r="D96" s="862"/>
      <c r="E96" s="863"/>
      <c r="F96" s="864"/>
      <c r="G96" s="865"/>
      <c r="H96" s="866"/>
      <c r="I96" s="865"/>
      <c r="J96" s="866"/>
      <c r="K96" s="866"/>
      <c r="L96" s="865"/>
      <c r="M96" s="867"/>
    </row>
    <row r="97" spans="1:13">
      <c r="A97" s="861" t="s">
        <v>876</v>
      </c>
      <c r="B97" s="862"/>
      <c r="C97" s="868">
        <v>47635</v>
      </c>
      <c r="D97" s="862"/>
      <c r="E97" s="869"/>
      <c r="F97" s="864"/>
      <c r="G97" s="865"/>
      <c r="H97" s="866"/>
      <c r="I97" s="865"/>
      <c r="J97" s="870"/>
      <c r="K97" s="866"/>
      <c r="L97" s="865"/>
      <c r="M97" s="867"/>
    </row>
    <row r="98" spans="1:13" ht="16" thickBot="1">
      <c r="A98" s="861"/>
      <c r="B98" s="862"/>
      <c r="C98" s="863"/>
      <c r="D98" s="862"/>
      <c r="E98" s="863"/>
      <c r="F98" s="864"/>
      <c r="G98" s="865"/>
      <c r="H98" s="866"/>
      <c r="I98" s="865"/>
      <c r="J98" s="866"/>
      <c r="K98" s="866"/>
      <c r="L98" s="865"/>
      <c r="M98" s="867"/>
    </row>
    <row r="99" spans="1:13" ht="16" thickBot="1">
      <c r="A99" s="1148" t="s">
        <v>877</v>
      </c>
      <c r="B99" s="1149"/>
      <c r="C99" s="1149"/>
      <c r="D99" s="1149"/>
      <c r="E99" s="1149"/>
      <c r="F99" s="1149"/>
      <c r="G99" s="1149"/>
      <c r="H99" s="1149"/>
      <c r="I99" s="1149"/>
      <c r="J99" s="1149"/>
      <c r="K99" s="1149"/>
      <c r="L99" s="1149"/>
      <c r="M99" s="1150"/>
    </row>
    <row r="100" spans="1:13">
      <c r="A100" s="871" t="s">
        <v>878</v>
      </c>
      <c r="B100" s="872"/>
      <c r="C100" s="872" t="s">
        <v>879</v>
      </c>
      <c r="D100" s="872"/>
      <c r="E100" s="872" t="s">
        <v>880</v>
      </c>
      <c r="F100" s="873"/>
      <c r="G100" s="874" t="s">
        <v>881</v>
      </c>
      <c r="H100" s="875"/>
      <c r="I100" s="874" t="s">
        <v>515</v>
      </c>
      <c r="J100" s="875"/>
      <c r="K100" s="875" t="s">
        <v>516</v>
      </c>
      <c r="L100" s="874"/>
      <c r="M100" s="876" t="s">
        <v>517</v>
      </c>
    </row>
    <row r="101" spans="1:13">
      <c r="A101" s="861" t="s">
        <v>169</v>
      </c>
      <c r="B101" s="877"/>
      <c r="C101" s="878" t="s">
        <v>882</v>
      </c>
      <c r="D101" s="878"/>
      <c r="E101" s="879">
        <v>89.99</v>
      </c>
      <c r="F101" s="880"/>
      <c r="G101" s="881">
        <v>491</v>
      </c>
      <c r="H101" s="882"/>
      <c r="I101" s="881">
        <v>12</v>
      </c>
      <c r="J101" s="881"/>
      <c r="K101" s="881">
        <v>10</v>
      </c>
      <c r="L101" s="881"/>
      <c r="M101" s="883">
        <v>8</v>
      </c>
    </row>
    <row r="102" spans="1:13">
      <c r="A102" s="861" t="s">
        <v>883</v>
      </c>
      <c r="B102" s="877"/>
      <c r="C102" s="878" t="s">
        <v>882</v>
      </c>
      <c r="D102" s="878"/>
      <c r="E102" s="879">
        <v>39.99</v>
      </c>
      <c r="F102" s="880"/>
      <c r="G102" s="881">
        <v>1843</v>
      </c>
      <c r="H102" s="881"/>
      <c r="I102" s="881">
        <v>10</v>
      </c>
      <c r="J102" s="881"/>
      <c r="K102" s="881">
        <v>5</v>
      </c>
      <c r="L102" s="881"/>
      <c r="M102" s="884">
        <v>8</v>
      </c>
    </row>
    <row r="103" spans="1:13">
      <c r="A103" s="861" t="s">
        <v>885</v>
      </c>
      <c r="B103" s="877"/>
      <c r="C103" s="878" t="s">
        <v>882</v>
      </c>
      <c r="D103" s="878"/>
      <c r="E103" s="879">
        <v>29.99</v>
      </c>
      <c r="F103" s="880"/>
      <c r="G103" s="881">
        <v>1228</v>
      </c>
      <c r="H103" s="881"/>
      <c r="I103" s="881">
        <v>20</v>
      </c>
      <c r="J103" s="881"/>
      <c r="K103" s="881">
        <v>6</v>
      </c>
      <c r="L103" s="881"/>
      <c r="M103" s="884">
        <v>6</v>
      </c>
    </row>
    <row r="104" spans="1:13">
      <c r="A104" s="861" t="s">
        <v>886</v>
      </c>
      <c r="B104" s="877"/>
      <c r="C104" s="878" t="s">
        <v>882</v>
      </c>
      <c r="D104" s="878"/>
      <c r="E104" s="879">
        <v>14.99</v>
      </c>
      <c r="F104" s="880"/>
      <c r="G104" s="881">
        <v>1032</v>
      </c>
      <c r="H104" s="881"/>
      <c r="I104" s="881">
        <v>48</v>
      </c>
      <c r="J104" s="881"/>
      <c r="K104" s="881">
        <v>1</v>
      </c>
      <c r="L104" s="881"/>
      <c r="M104" s="884">
        <v>30</v>
      </c>
    </row>
    <row r="105" spans="1:13" ht="16" thickBot="1">
      <c r="A105" s="886" t="s">
        <v>992</v>
      </c>
      <c r="B105" s="887"/>
      <c r="C105" s="888" t="s">
        <v>884</v>
      </c>
      <c r="D105" s="888"/>
      <c r="E105" s="889"/>
      <c r="F105" s="890"/>
      <c r="G105" s="891"/>
      <c r="H105" s="891"/>
      <c r="I105" s="891"/>
      <c r="J105" s="891"/>
      <c r="K105" s="891"/>
      <c r="L105" s="891"/>
      <c r="M105" s="892"/>
    </row>
    <row r="106" spans="1:13" ht="16" thickBot="1"/>
    <row r="107" spans="1:13" ht="16" thickBot="1">
      <c r="A107" s="1151" t="s">
        <v>555</v>
      </c>
      <c r="B107" s="1152"/>
      <c r="C107" s="1152"/>
      <c r="D107" s="1152"/>
      <c r="E107" s="1152"/>
      <c r="F107" s="1152"/>
      <c r="G107" s="1152"/>
      <c r="H107" s="1152"/>
      <c r="I107" s="1152"/>
      <c r="J107" s="1152"/>
      <c r="K107" s="1152"/>
      <c r="L107" s="1152"/>
      <c r="M107" s="1153"/>
    </row>
    <row r="108" spans="1:13">
      <c r="A108" s="893"/>
      <c r="B108" s="894"/>
      <c r="C108" s="895"/>
      <c r="D108" s="894"/>
      <c r="E108" s="895"/>
      <c r="F108" s="896"/>
      <c r="G108" s="897"/>
      <c r="H108" s="898"/>
      <c r="I108" s="897"/>
      <c r="J108" s="898"/>
      <c r="K108" s="898"/>
      <c r="L108" s="897"/>
      <c r="M108" s="899"/>
    </row>
    <row r="109" spans="1:13">
      <c r="A109" s="893" t="s">
        <v>874</v>
      </c>
      <c r="B109" s="894"/>
      <c r="C109" s="895" t="s">
        <v>1066</v>
      </c>
      <c r="D109" s="894"/>
      <c r="E109" s="895"/>
      <c r="F109" s="896"/>
      <c r="G109" s="897"/>
      <c r="H109" s="898"/>
      <c r="I109" s="897"/>
      <c r="J109" s="898"/>
      <c r="K109" s="898"/>
      <c r="L109" s="897"/>
      <c r="M109" s="899"/>
    </row>
    <row r="110" spans="1:13">
      <c r="A110" s="893" t="s">
        <v>876</v>
      </c>
      <c r="B110" s="894"/>
      <c r="C110" s="900">
        <v>47757</v>
      </c>
      <c r="D110" s="894"/>
      <c r="E110" s="901"/>
      <c r="F110" s="896"/>
      <c r="G110" s="897"/>
      <c r="H110" s="898"/>
      <c r="I110" s="897"/>
      <c r="J110" s="902"/>
      <c r="K110" s="898"/>
      <c r="L110" s="897"/>
      <c r="M110" s="899"/>
    </row>
    <row r="111" spans="1:13" ht="16" thickBot="1">
      <c r="A111" s="893"/>
      <c r="B111" s="894"/>
      <c r="C111" s="895"/>
      <c r="D111" s="894"/>
      <c r="E111" s="895"/>
      <c r="F111" s="896"/>
      <c r="G111" s="897"/>
      <c r="H111" s="898"/>
      <c r="I111" s="897"/>
      <c r="J111" s="898"/>
      <c r="K111" s="898"/>
      <c r="L111" s="897"/>
      <c r="M111" s="899"/>
    </row>
    <row r="112" spans="1:13" ht="16" thickBot="1">
      <c r="A112" s="1151" t="s">
        <v>877</v>
      </c>
      <c r="B112" s="1152"/>
      <c r="C112" s="1152"/>
      <c r="D112" s="1152"/>
      <c r="E112" s="1152"/>
      <c r="F112" s="1152"/>
      <c r="G112" s="1152"/>
      <c r="H112" s="1152"/>
      <c r="I112" s="1152"/>
      <c r="J112" s="1152"/>
      <c r="K112" s="1152"/>
      <c r="L112" s="1152"/>
      <c r="M112" s="1153"/>
    </row>
    <row r="113" spans="1:13">
      <c r="A113" s="903" t="s">
        <v>878</v>
      </c>
      <c r="B113" s="904"/>
      <c r="C113" s="904" t="s">
        <v>879</v>
      </c>
      <c r="D113" s="904"/>
      <c r="E113" s="904" t="s">
        <v>880</v>
      </c>
      <c r="F113" s="905"/>
      <c r="G113" s="906" t="s">
        <v>881</v>
      </c>
      <c r="H113" s="907"/>
      <c r="I113" s="906" t="s">
        <v>515</v>
      </c>
      <c r="J113" s="907"/>
      <c r="K113" s="907" t="s">
        <v>516</v>
      </c>
      <c r="L113" s="906"/>
      <c r="M113" s="908" t="s">
        <v>517</v>
      </c>
    </row>
    <row r="114" spans="1:13">
      <c r="A114" s="893" t="s">
        <v>169</v>
      </c>
      <c r="B114" s="909"/>
      <c r="C114" s="910" t="s">
        <v>882</v>
      </c>
      <c r="D114" s="910"/>
      <c r="E114" s="911">
        <v>149.99</v>
      </c>
      <c r="F114" s="912"/>
      <c r="G114" s="913">
        <v>861</v>
      </c>
      <c r="H114" s="914"/>
      <c r="I114" s="913">
        <v>12</v>
      </c>
      <c r="J114" s="913"/>
      <c r="K114" s="913">
        <v>12</v>
      </c>
      <c r="L114" s="913"/>
      <c r="M114" s="915">
        <v>5</v>
      </c>
    </row>
    <row r="115" spans="1:13">
      <c r="A115" s="893" t="s">
        <v>883</v>
      </c>
      <c r="B115" s="909"/>
      <c r="C115" s="910" t="s">
        <v>882</v>
      </c>
      <c r="D115" s="910"/>
      <c r="E115" s="911">
        <v>39.99</v>
      </c>
      <c r="F115" s="912"/>
      <c r="G115" s="913">
        <v>737</v>
      </c>
      <c r="H115" s="913"/>
      <c r="I115" s="913">
        <v>10</v>
      </c>
      <c r="J115" s="913"/>
      <c r="K115" s="913">
        <v>4</v>
      </c>
      <c r="L115" s="913"/>
      <c r="M115" s="916">
        <v>5</v>
      </c>
    </row>
    <row r="116" spans="1:13">
      <c r="A116" s="893" t="s">
        <v>885</v>
      </c>
      <c r="B116" s="909"/>
      <c r="C116" s="910" t="s">
        <v>882</v>
      </c>
      <c r="D116" s="910"/>
      <c r="E116" s="911">
        <v>24.99</v>
      </c>
      <c r="F116" s="912"/>
      <c r="G116" s="913">
        <v>615</v>
      </c>
      <c r="H116" s="913"/>
      <c r="I116" s="913">
        <v>20</v>
      </c>
      <c r="J116" s="913"/>
      <c r="K116" s="913">
        <v>3</v>
      </c>
      <c r="L116" s="913"/>
      <c r="M116" s="916">
        <v>4</v>
      </c>
    </row>
    <row r="117" spans="1:13">
      <c r="A117" s="893" t="s">
        <v>886</v>
      </c>
      <c r="B117" s="909"/>
      <c r="C117" s="910" t="s">
        <v>884</v>
      </c>
      <c r="D117" s="910"/>
      <c r="E117" s="911"/>
      <c r="F117" s="912"/>
      <c r="G117" s="913"/>
      <c r="H117" s="913"/>
      <c r="I117" s="913"/>
      <c r="J117" s="913"/>
      <c r="K117" s="913"/>
      <c r="L117" s="913"/>
      <c r="M117" s="916"/>
    </row>
    <row r="118" spans="1:13" ht="16" thickBot="1">
      <c r="A118" s="917" t="s">
        <v>992</v>
      </c>
      <c r="B118" s="918"/>
      <c r="C118" s="919" t="s">
        <v>884</v>
      </c>
      <c r="D118" s="919"/>
      <c r="E118" s="920"/>
      <c r="F118" s="921"/>
      <c r="G118" s="922"/>
      <c r="H118" s="922"/>
      <c r="I118" s="922"/>
      <c r="J118" s="922"/>
      <c r="K118" s="922"/>
      <c r="L118" s="922"/>
      <c r="M118" s="923"/>
    </row>
    <row r="119" spans="1:13" ht="16" thickBot="1"/>
    <row r="120" spans="1:13" ht="16" thickBot="1">
      <c r="A120" s="1145" t="s">
        <v>556</v>
      </c>
      <c r="B120" s="1146"/>
      <c r="C120" s="1146"/>
      <c r="D120" s="1146"/>
      <c r="E120" s="1146"/>
      <c r="F120" s="1146"/>
      <c r="G120" s="1146"/>
      <c r="H120" s="1146"/>
      <c r="I120" s="1146"/>
      <c r="J120" s="1146"/>
      <c r="K120" s="1146"/>
      <c r="L120" s="1146"/>
      <c r="M120" s="1147"/>
    </row>
    <row r="121" spans="1:13">
      <c r="A121" s="924"/>
      <c r="B121" s="925"/>
      <c r="C121" s="926"/>
      <c r="D121" s="925"/>
      <c r="E121" s="926"/>
      <c r="F121" s="927"/>
      <c r="G121" s="928"/>
      <c r="H121" s="929"/>
      <c r="I121" s="928"/>
      <c r="J121" s="929"/>
      <c r="K121" s="929"/>
      <c r="L121" s="928"/>
      <c r="M121" s="930"/>
    </row>
    <row r="122" spans="1:13">
      <c r="A122" s="924" t="s">
        <v>874</v>
      </c>
      <c r="B122" s="925"/>
      <c r="C122" s="926" t="s">
        <v>1065</v>
      </c>
      <c r="D122" s="925"/>
      <c r="E122" s="926"/>
      <c r="F122" s="927"/>
      <c r="G122" s="928"/>
      <c r="H122" s="929"/>
      <c r="I122" s="928"/>
      <c r="J122" s="929"/>
      <c r="K122" s="929"/>
      <c r="L122" s="928"/>
      <c r="M122" s="930"/>
    </row>
    <row r="123" spans="1:13">
      <c r="A123" s="924" t="s">
        <v>876</v>
      </c>
      <c r="B123" s="925"/>
      <c r="C123" s="931">
        <v>47818</v>
      </c>
      <c r="D123" s="925"/>
      <c r="E123" s="932"/>
      <c r="F123" s="927"/>
      <c r="G123" s="928"/>
      <c r="H123" s="929"/>
      <c r="I123" s="928"/>
      <c r="J123" s="933"/>
      <c r="K123" s="929"/>
      <c r="L123" s="928"/>
      <c r="M123" s="930"/>
    </row>
    <row r="124" spans="1:13" ht="16" thickBot="1">
      <c r="A124" s="924"/>
      <c r="B124" s="925"/>
      <c r="C124" s="926"/>
      <c r="D124" s="925"/>
      <c r="E124" s="926"/>
      <c r="F124" s="927"/>
      <c r="G124" s="928"/>
      <c r="H124" s="929"/>
      <c r="I124" s="928"/>
      <c r="J124" s="929"/>
      <c r="K124" s="929"/>
      <c r="L124" s="928"/>
      <c r="M124" s="930"/>
    </row>
    <row r="125" spans="1:13" ht="16" thickBot="1">
      <c r="A125" s="1145" t="s">
        <v>877</v>
      </c>
      <c r="B125" s="1146"/>
      <c r="C125" s="1146"/>
      <c r="D125" s="1146"/>
      <c r="E125" s="1146"/>
      <c r="F125" s="1146"/>
      <c r="G125" s="1146"/>
      <c r="H125" s="1146"/>
      <c r="I125" s="1146"/>
      <c r="J125" s="1146"/>
      <c r="K125" s="1146"/>
      <c r="L125" s="1146"/>
      <c r="M125" s="1147"/>
    </row>
    <row r="126" spans="1:13">
      <c r="A126" s="934" t="s">
        <v>878</v>
      </c>
      <c r="B126" s="935"/>
      <c r="C126" s="935" t="s">
        <v>879</v>
      </c>
      <c r="D126" s="935"/>
      <c r="E126" s="935" t="s">
        <v>880</v>
      </c>
      <c r="F126" s="936"/>
      <c r="G126" s="937" t="s">
        <v>881</v>
      </c>
      <c r="H126" s="938"/>
      <c r="I126" s="937" t="s">
        <v>515</v>
      </c>
      <c r="J126" s="938"/>
      <c r="K126" s="938" t="s">
        <v>516</v>
      </c>
      <c r="L126" s="937"/>
      <c r="M126" s="939" t="s">
        <v>517</v>
      </c>
    </row>
    <row r="127" spans="1:13">
      <c r="A127" s="924" t="s">
        <v>169</v>
      </c>
      <c r="B127" s="940"/>
      <c r="C127" s="941" t="s">
        <v>882</v>
      </c>
      <c r="D127" s="941"/>
      <c r="E127" s="942">
        <v>499.99</v>
      </c>
      <c r="F127" s="943"/>
      <c r="G127" s="944">
        <v>250</v>
      </c>
      <c r="H127" s="945"/>
      <c r="I127" s="944">
        <v>2</v>
      </c>
      <c r="J127" s="944"/>
      <c r="K127" s="944">
        <v>1</v>
      </c>
      <c r="L127" s="944"/>
      <c r="M127" s="946">
        <v>6</v>
      </c>
    </row>
    <row r="128" spans="1:13">
      <c r="A128" s="924" t="s">
        <v>883</v>
      </c>
      <c r="B128" s="940"/>
      <c r="C128" s="941" t="s">
        <v>884</v>
      </c>
      <c r="D128" s="941"/>
      <c r="E128" s="942"/>
      <c r="F128" s="943"/>
      <c r="G128" s="944"/>
      <c r="H128" s="944"/>
      <c r="I128" s="944"/>
      <c r="J128" s="944"/>
      <c r="K128" s="944"/>
      <c r="L128" s="944"/>
      <c r="M128" s="947"/>
    </row>
    <row r="129" spans="1:13">
      <c r="A129" s="924" t="s">
        <v>885</v>
      </c>
      <c r="B129" s="940"/>
      <c r="C129" s="941" t="s">
        <v>884</v>
      </c>
      <c r="D129" s="941"/>
      <c r="E129" s="942"/>
      <c r="F129" s="943"/>
      <c r="G129" s="944"/>
      <c r="H129" s="944"/>
      <c r="I129" s="944"/>
      <c r="J129" s="944"/>
      <c r="K129" s="944"/>
      <c r="L129" s="944"/>
      <c r="M129" s="947"/>
    </row>
    <row r="130" spans="1:13">
      <c r="A130" s="924" t="s">
        <v>886</v>
      </c>
      <c r="B130" s="940"/>
      <c r="C130" s="941" t="s">
        <v>884</v>
      </c>
      <c r="D130" s="941"/>
      <c r="E130" s="942"/>
      <c r="F130" s="943"/>
      <c r="G130" s="944"/>
      <c r="H130" s="944"/>
      <c r="I130" s="944"/>
      <c r="J130" s="944"/>
      <c r="K130" s="944"/>
      <c r="L130" s="944"/>
      <c r="M130" s="947"/>
    </row>
    <row r="131" spans="1:13" ht="16" thickBot="1">
      <c r="A131" s="948" t="s">
        <v>992</v>
      </c>
      <c r="B131" s="949"/>
      <c r="C131" s="950" t="s">
        <v>884</v>
      </c>
      <c r="D131" s="950"/>
      <c r="E131" s="951"/>
      <c r="F131" s="952"/>
      <c r="G131" s="953"/>
      <c r="H131" s="953"/>
      <c r="I131" s="953"/>
      <c r="J131" s="953"/>
      <c r="K131" s="953"/>
      <c r="L131" s="953"/>
      <c r="M131" s="954"/>
    </row>
  </sheetData>
  <mergeCells count="19">
    <mergeCell ref="A81:M81"/>
    <mergeCell ref="A1:M1"/>
    <mergeCell ref="A16:M16"/>
    <mergeCell ref="A21:M21"/>
    <mergeCell ref="A29:M29"/>
    <mergeCell ref="A34:M34"/>
    <mergeCell ref="A42:M42"/>
    <mergeCell ref="A47:M47"/>
    <mergeCell ref="A55:M55"/>
    <mergeCell ref="A60:M60"/>
    <mergeCell ref="A68:M68"/>
    <mergeCell ref="A73:M73"/>
    <mergeCell ref="A125:M125"/>
    <mergeCell ref="A86:M86"/>
    <mergeCell ref="A94:M94"/>
    <mergeCell ref="A99:M99"/>
    <mergeCell ref="A107:M107"/>
    <mergeCell ref="A112:M112"/>
    <mergeCell ref="A120:M120"/>
  </mergeCells>
  <pageMargins left="0.7" right="0.7" top="0.75" bottom="0.75" header="0.3" footer="0.3"/>
  <pageSetup orientation="portrait" horizontalDpi="0" verticalDpi="0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4FAD-4151-0B4A-BCD6-7D7A8C3E13DC}">
  <sheetPr>
    <tabColor theme="6" tint="0.59999389629810485"/>
  </sheetPr>
  <dimension ref="A2:BP106"/>
  <sheetViews>
    <sheetView topLeftCell="A69" zoomScaleNormal="100" workbookViewId="0">
      <selection activeCell="B93" sqref="B93"/>
    </sheetView>
  </sheetViews>
  <sheetFormatPr baseColWidth="10" defaultColWidth="9.1640625" defaultRowHeight="15"/>
  <cols>
    <col min="1" max="1" width="33.83203125" style="669" bestFit="1" customWidth="1"/>
    <col min="2" max="2" width="18.83203125" style="669" bestFit="1" customWidth="1"/>
    <col min="3" max="3" width="15" style="669" bestFit="1" customWidth="1"/>
    <col min="4" max="4" width="14.5" style="669" bestFit="1" customWidth="1"/>
    <col min="5" max="5" width="8.33203125" style="669" bestFit="1" customWidth="1"/>
    <col min="6" max="6" width="24.6640625" style="669" bestFit="1" customWidth="1"/>
    <col min="7" max="7" width="18.83203125" style="669" bestFit="1" customWidth="1"/>
    <col min="8" max="8" width="15" style="669" bestFit="1" customWidth="1"/>
    <col min="9" max="9" width="16.6640625" style="669" bestFit="1" customWidth="1"/>
    <col min="10" max="10" width="12.6640625" style="669" bestFit="1" customWidth="1"/>
    <col min="11" max="11" width="22.5" style="669" bestFit="1" customWidth="1"/>
    <col min="12" max="12" width="17.1640625" style="669" bestFit="1" customWidth="1"/>
    <col min="13" max="13" width="16.83203125" style="669" bestFit="1" customWidth="1"/>
    <col min="14" max="14" width="18.6640625" style="669" bestFit="1" customWidth="1"/>
    <col min="15" max="15" width="11.1640625" style="669" bestFit="1" customWidth="1"/>
    <col min="16" max="16" width="22.33203125" style="669" bestFit="1" customWidth="1"/>
    <col min="17" max="17" width="15.33203125" style="669" bestFit="1" customWidth="1"/>
    <col min="18" max="18" width="18.83203125" style="669" bestFit="1" customWidth="1"/>
    <col min="19" max="19" width="14.33203125" style="669" bestFit="1" customWidth="1"/>
    <col min="20" max="20" width="10.33203125" style="669" bestFit="1" customWidth="1"/>
    <col min="21" max="21" width="24.6640625" style="669" bestFit="1" customWidth="1"/>
    <col min="22" max="22" width="18.83203125" style="669" bestFit="1" customWidth="1"/>
    <col min="23" max="23" width="15.33203125" style="669" bestFit="1" customWidth="1"/>
    <col min="24" max="24" width="14.33203125" style="669" bestFit="1" customWidth="1"/>
    <col min="25" max="25" width="11.1640625" style="669" bestFit="1" customWidth="1"/>
    <col min="26" max="26" width="24.6640625" style="669" bestFit="1" customWidth="1"/>
    <col min="27" max="27" width="17.83203125" style="669" bestFit="1" customWidth="1"/>
    <col min="28" max="28" width="15.33203125" style="669" bestFit="1" customWidth="1"/>
    <col min="29" max="29" width="14.33203125" style="669" bestFit="1" customWidth="1"/>
    <col min="30" max="30" width="10.33203125" style="669" bestFit="1" customWidth="1"/>
    <col min="31" max="31" width="24.6640625" style="669" bestFit="1" customWidth="1"/>
    <col min="32" max="32" width="17.5" style="669" bestFit="1" customWidth="1"/>
    <col min="33" max="33" width="15.33203125" style="669" bestFit="1" customWidth="1"/>
    <col min="34" max="34" width="14.33203125" style="669" bestFit="1" customWidth="1"/>
    <col min="35" max="35" width="10.1640625" style="669" bestFit="1" customWidth="1"/>
    <col min="36" max="36" width="21.5" style="669" bestFit="1" customWidth="1"/>
    <col min="37" max="37" width="15.33203125" style="669" bestFit="1" customWidth="1"/>
    <col min="38" max="39" width="14.6640625" style="669" bestFit="1" customWidth="1"/>
    <col min="40" max="40" width="8.5" style="669" bestFit="1" customWidth="1"/>
    <col min="41" max="41" width="21.5" style="669" bestFit="1" customWidth="1"/>
    <col min="42" max="42" width="15.33203125" style="669" bestFit="1" customWidth="1"/>
    <col min="43" max="44" width="13.6640625" style="669" bestFit="1" customWidth="1"/>
    <col min="45" max="45" width="10.1640625" style="669" bestFit="1" customWidth="1"/>
    <col min="46" max="47" width="9.1640625" style="669"/>
    <col min="48" max="48" width="10.1640625" style="669" bestFit="1" customWidth="1"/>
    <col min="49" max="50" width="9.1640625" style="669"/>
    <col min="51" max="51" width="11.1640625" style="669" bestFit="1" customWidth="1"/>
    <col min="52" max="53" width="9.1640625" style="669"/>
    <col min="54" max="54" width="11.83203125" style="669" bestFit="1" customWidth="1"/>
    <col min="55" max="60" width="9.1640625" style="669"/>
    <col min="61" max="61" width="10.1640625" style="669" bestFit="1" customWidth="1"/>
    <col min="62" max="63" width="9.1640625" style="669"/>
    <col min="64" max="64" width="11.1640625" style="669" bestFit="1" customWidth="1"/>
    <col min="65" max="66" width="9.1640625" style="669"/>
    <col min="67" max="67" width="11.1640625" style="669" bestFit="1" customWidth="1"/>
    <col min="68" max="68" width="13.6640625" style="669" bestFit="1" customWidth="1"/>
    <col min="69" max="16384" width="9.1640625" style="669"/>
  </cols>
  <sheetData>
    <row r="2" spans="1:44" ht="16" thickBot="1">
      <c r="A2" s="667" t="s">
        <v>745</v>
      </c>
      <c r="B2" s="668"/>
      <c r="C2" s="668"/>
      <c r="D2" s="975"/>
      <c r="E2" s="668"/>
      <c r="F2" s="667" t="s">
        <v>745</v>
      </c>
      <c r="G2" s="668"/>
      <c r="H2" s="668"/>
      <c r="I2" s="668"/>
      <c r="J2" s="668"/>
      <c r="K2" s="667" t="s">
        <v>745</v>
      </c>
      <c r="L2" s="668"/>
      <c r="M2" s="668"/>
      <c r="N2" s="668"/>
      <c r="O2" s="668"/>
      <c r="P2" s="667" t="s">
        <v>745</v>
      </c>
      <c r="Q2" s="668"/>
      <c r="R2" s="668"/>
      <c r="S2" s="668"/>
      <c r="U2" s="667" t="s">
        <v>745</v>
      </c>
      <c r="V2" s="668"/>
      <c r="W2" s="668"/>
      <c r="X2" s="668"/>
      <c r="Z2" s="667" t="s">
        <v>745</v>
      </c>
      <c r="AA2" s="668"/>
      <c r="AB2" s="668"/>
      <c r="AC2" s="668"/>
      <c r="AE2" s="667" t="s">
        <v>745</v>
      </c>
      <c r="AF2" s="668"/>
      <c r="AG2" s="668"/>
      <c r="AH2" s="668"/>
      <c r="AJ2" s="667" t="s">
        <v>745</v>
      </c>
      <c r="AK2" s="668"/>
      <c r="AL2" s="668"/>
      <c r="AM2" s="668"/>
      <c r="AO2" s="667" t="s">
        <v>745</v>
      </c>
      <c r="AP2" s="668"/>
      <c r="AQ2" s="668"/>
      <c r="AR2" s="668"/>
    </row>
    <row r="3" spans="1:44" ht="34.5" customHeight="1" thickBot="1">
      <c r="A3" s="670" t="str">
        <f>'PPA MLP Inputs'!C18</f>
        <v>ROOT — 2027 season</v>
      </c>
      <c r="B3" s="671">
        <f>'PPA MLP Inputs'!C19</f>
        <v>46539</v>
      </c>
      <c r="C3" s="672"/>
      <c r="D3" s="668"/>
      <c r="E3" s="668"/>
      <c r="F3" s="673" t="str">
        <f>'PPA MLP Inputs'!C31</f>
        <v>FORGE - 2027 Season</v>
      </c>
      <c r="G3" s="671">
        <f>'PPA MLP Inputs'!C32</f>
        <v>46661</v>
      </c>
      <c r="H3" s="672"/>
      <c r="I3" s="668"/>
      <c r="J3" s="668"/>
      <c r="K3" s="673" t="str">
        <f>'PPA MLP Inputs'!C44</f>
        <v>ROOT — 2028 season</v>
      </c>
      <c r="L3" s="671">
        <f>'PPA MLP Inputs'!C45</f>
        <v>46905</v>
      </c>
      <c r="M3" s="672"/>
      <c r="N3" s="668"/>
      <c r="O3" s="668"/>
      <c r="P3" s="673" t="str">
        <f>'PPA MLP Inputs'!C57</f>
        <v>FORGE - 2028 Season</v>
      </c>
      <c r="Q3" s="671">
        <f>'PPA MLP Inputs'!C58</f>
        <v>47027</v>
      </c>
      <c r="R3" s="672"/>
      <c r="S3" s="668"/>
      <c r="U3" s="673" t="str">
        <f>'PPA MLP Inputs'!C70</f>
        <v>ROOT — 2029 season</v>
      </c>
      <c r="V3" s="671">
        <f>'PPA MLP Inputs'!C71</f>
        <v>47270</v>
      </c>
      <c r="W3" s="672"/>
      <c r="X3" s="668"/>
      <c r="Z3" s="673" t="str">
        <f>'PPA MLP Inputs'!C83</f>
        <v>FORGE - 2029 Season</v>
      </c>
      <c r="AA3" s="671">
        <f>'PPA MLP Inputs'!C84</f>
        <v>47392</v>
      </c>
      <c r="AB3" s="672"/>
      <c r="AC3" s="668"/>
      <c r="AE3" s="673" t="str">
        <f>'PPA MLP Inputs'!C96</f>
        <v>ROOT — 2030 season</v>
      </c>
      <c r="AF3" s="671">
        <f>'PPA MLP Inputs'!C97</f>
        <v>47635</v>
      </c>
      <c r="AG3" s="672"/>
      <c r="AH3" s="668"/>
      <c r="AJ3" s="673" t="str">
        <f>'PPA MLP Inputs'!C109</f>
        <v>FORGE - 2030 Season</v>
      </c>
      <c r="AK3" s="671">
        <f>'PPA MLP Inputs'!C110</f>
        <v>47757</v>
      </c>
      <c r="AL3" s="672"/>
      <c r="AM3" s="668"/>
      <c r="AO3" s="673" t="str">
        <f>'PPA MLP Inputs'!C122</f>
        <v>ASCEND - 2030 Season</v>
      </c>
      <c r="AP3" s="671">
        <f>'PPA MLP Inputs'!C123</f>
        <v>47818</v>
      </c>
      <c r="AQ3" s="672"/>
      <c r="AR3" s="668"/>
    </row>
    <row r="4" spans="1:44" ht="16" thickBot="1">
      <c r="A4" s="668"/>
      <c r="B4" s="668"/>
      <c r="C4" s="674" t="s">
        <v>754</v>
      </c>
      <c r="D4" s="675" t="s">
        <v>755</v>
      </c>
      <c r="E4" s="668"/>
      <c r="F4" s="668"/>
      <c r="G4" s="668"/>
      <c r="H4" s="674" t="s">
        <v>754</v>
      </c>
      <c r="I4" s="675" t="s">
        <v>755</v>
      </c>
      <c r="J4" s="668"/>
      <c r="K4" s="668"/>
      <c r="L4" s="668"/>
      <c r="M4" s="674" t="s">
        <v>754</v>
      </c>
      <c r="N4" s="675" t="s">
        <v>755</v>
      </c>
      <c r="O4" s="668"/>
      <c r="P4" s="668"/>
      <c r="Q4" s="668"/>
      <c r="R4" s="674" t="s">
        <v>754</v>
      </c>
      <c r="S4" s="675" t="s">
        <v>755</v>
      </c>
      <c r="T4" s="543"/>
      <c r="U4" s="668"/>
      <c r="V4" s="668"/>
      <c r="W4" s="674" t="s">
        <v>754</v>
      </c>
      <c r="X4" s="675" t="s">
        <v>755</v>
      </c>
      <c r="Z4" s="668"/>
      <c r="AA4" s="668"/>
      <c r="AB4" s="674" t="s">
        <v>754</v>
      </c>
      <c r="AC4" s="675" t="s">
        <v>755</v>
      </c>
      <c r="AE4" s="668"/>
      <c r="AF4" s="668"/>
      <c r="AG4" s="674" t="s">
        <v>754</v>
      </c>
      <c r="AH4" s="675" t="s">
        <v>755</v>
      </c>
      <c r="AJ4" s="668"/>
      <c r="AK4" s="668"/>
      <c r="AL4" s="674" t="s">
        <v>754</v>
      </c>
      <c r="AM4" s="675" t="s">
        <v>755</v>
      </c>
      <c r="AO4" s="668"/>
      <c r="AP4" s="668"/>
      <c r="AQ4" s="674" t="s">
        <v>754</v>
      </c>
      <c r="AR4" s="675" t="s">
        <v>755</v>
      </c>
    </row>
    <row r="5" spans="1:44" s="677" customFormat="1" ht="32" customHeight="1">
      <c r="A5" s="676" t="s">
        <v>756</v>
      </c>
      <c r="B5" s="1172" t="s">
        <v>18</v>
      </c>
      <c r="C5" s="1176">
        <f>'PPA MLP Inputs'!E23</f>
        <v>89.99</v>
      </c>
      <c r="D5" s="1178">
        <f>C5*B8</f>
        <v>1079.8799999999999</v>
      </c>
      <c r="E5" s="1179"/>
      <c r="F5" s="676" t="s">
        <v>756</v>
      </c>
      <c r="G5" s="1172" t="s">
        <v>18</v>
      </c>
      <c r="H5" s="1176">
        <f>'PPA MLP Inputs'!E36</f>
        <v>149.99</v>
      </c>
      <c r="I5" s="1178">
        <f>H5*G8</f>
        <v>1799.88</v>
      </c>
      <c r="J5" s="1179"/>
      <c r="K5" s="676" t="s">
        <v>756</v>
      </c>
      <c r="L5" s="1172" t="s">
        <v>18</v>
      </c>
      <c r="M5" s="1176">
        <f>'PPA MLP Inputs'!E49</f>
        <v>89.99</v>
      </c>
      <c r="N5" s="1178">
        <f>M5*L8</f>
        <v>1079.8799999999999</v>
      </c>
      <c r="O5" s="1180"/>
      <c r="P5" s="676" t="s">
        <v>756</v>
      </c>
      <c r="Q5" s="1172" t="s">
        <v>18</v>
      </c>
      <c r="R5" s="1176">
        <f>'PPA MLP Inputs'!E62</f>
        <v>149.99</v>
      </c>
      <c r="S5" s="1178">
        <f>R5*Q8</f>
        <v>1799.88</v>
      </c>
      <c r="T5" s="545"/>
      <c r="U5" s="676" t="s">
        <v>756</v>
      </c>
      <c r="V5" s="1172" t="s">
        <v>18</v>
      </c>
      <c r="W5" s="1176">
        <f>'PPA MLP Inputs'!E75</f>
        <v>89.99</v>
      </c>
      <c r="X5" s="1178">
        <f>W5*V8</f>
        <v>1079.8799999999999</v>
      </c>
      <c r="Z5" s="676" t="s">
        <v>756</v>
      </c>
      <c r="AA5" s="1172" t="s">
        <v>18</v>
      </c>
      <c r="AB5" s="1176">
        <f>'PPA MLP Inputs'!E88</f>
        <v>149.99</v>
      </c>
      <c r="AC5" s="1178">
        <f>AB5*AA8</f>
        <v>1799.88</v>
      </c>
      <c r="AE5" s="676" t="s">
        <v>756</v>
      </c>
      <c r="AF5" s="1172" t="s">
        <v>18</v>
      </c>
      <c r="AG5" s="1176">
        <f>'PPA MLP Inputs'!E101</f>
        <v>89.99</v>
      </c>
      <c r="AH5" s="1178">
        <f>AG5*AF8</f>
        <v>1079.8799999999999</v>
      </c>
      <c r="AJ5" s="676" t="s">
        <v>756</v>
      </c>
      <c r="AK5" s="1172" t="s">
        <v>18</v>
      </c>
      <c r="AL5" s="1176">
        <f>'PPA MLP Inputs'!E114</f>
        <v>149.99</v>
      </c>
      <c r="AM5" s="1178">
        <f>AL5*AK8</f>
        <v>1799.88</v>
      </c>
      <c r="AO5" s="676" t="s">
        <v>756</v>
      </c>
      <c r="AP5" s="1172" t="s">
        <v>18</v>
      </c>
      <c r="AQ5" s="1176">
        <f>'PPA MLP Inputs'!E127</f>
        <v>499.99</v>
      </c>
      <c r="AR5" s="1178">
        <f>AQ5*AP8</f>
        <v>999.98</v>
      </c>
    </row>
    <row r="6" spans="1:44" s="677" customFormat="1" ht="16" thickBot="1">
      <c r="A6" s="678" t="s">
        <v>757</v>
      </c>
      <c r="B6" s="1173"/>
      <c r="C6" s="1177"/>
      <c r="D6" s="1175"/>
      <c r="E6" s="1179"/>
      <c r="F6" s="678" t="s">
        <v>757</v>
      </c>
      <c r="G6" s="1173"/>
      <c r="H6" s="1177"/>
      <c r="I6" s="1175"/>
      <c r="J6" s="1179"/>
      <c r="K6" s="678" t="s">
        <v>757</v>
      </c>
      <c r="L6" s="1173"/>
      <c r="M6" s="1177"/>
      <c r="N6" s="1175"/>
      <c r="O6" s="1180"/>
      <c r="P6" s="678" t="s">
        <v>757</v>
      </c>
      <c r="Q6" s="1173"/>
      <c r="R6" s="1177"/>
      <c r="S6" s="1175"/>
      <c r="T6" s="545"/>
      <c r="U6" s="678" t="s">
        <v>757</v>
      </c>
      <c r="V6" s="1173"/>
      <c r="W6" s="1177"/>
      <c r="X6" s="1175"/>
      <c r="Z6" s="678" t="s">
        <v>757</v>
      </c>
      <c r="AA6" s="1173"/>
      <c r="AB6" s="1177"/>
      <c r="AC6" s="1175"/>
      <c r="AE6" s="678" t="s">
        <v>757</v>
      </c>
      <c r="AF6" s="1173"/>
      <c r="AG6" s="1177"/>
      <c r="AH6" s="1175"/>
      <c r="AJ6" s="678" t="s">
        <v>757</v>
      </c>
      <c r="AK6" s="1173"/>
      <c r="AL6" s="1177"/>
      <c r="AM6" s="1175"/>
      <c r="AO6" s="678" t="s">
        <v>757</v>
      </c>
      <c r="AP6" s="1173"/>
      <c r="AQ6" s="1177"/>
      <c r="AR6" s="1175"/>
    </row>
    <row r="7" spans="1:44" ht="16" thickBot="1">
      <c r="A7" s="679" t="s">
        <v>758</v>
      </c>
      <c r="B7" s="680">
        <f>'PPA MLP Inputs'!G23</f>
        <v>200</v>
      </c>
      <c r="C7" s="681"/>
      <c r="D7" s="681"/>
      <c r="E7" s="668"/>
      <c r="F7" s="679" t="s">
        <v>758</v>
      </c>
      <c r="G7" s="680">
        <f>'PPA MLP Inputs'!G36</f>
        <v>350</v>
      </c>
      <c r="H7" s="681"/>
      <c r="I7" s="681"/>
      <c r="J7" s="668"/>
      <c r="K7" s="679" t="s">
        <v>758</v>
      </c>
      <c r="L7" s="680">
        <f>'PPA MLP Inputs'!G49</f>
        <v>280</v>
      </c>
      <c r="M7" s="681"/>
      <c r="N7" s="681"/>
      <c r="O7" s="668"/>
      <c r="P7" s="679" t="s">
        <v>758</v>
      </c>
      <c r="Q7" s="680">
        <f>'PPA MLP Inputs'!G62</f>
        <v>490</v>
      </c>
      <c r="R7" s="681"/>
      <c r="S7" s="681"/>
      <c r="T7" s="551"/>
      <c r="U7" s="679" t="s">
        <v>758</v>
      </c>
      <c r="V7" s="680">
        <f>'PPA MLP Inputs'!G75</f>
        <v>378</v>
      </c>
      <c r="W7" s="681"/>
      <c r="X7" s="681"/>
      <c r="Z7" s="679" t="s">
        <v>758</v>
      </c>
      <c r="AA7" s="680">
        <f>'PPA MLP Inputs'!G88</f>
        <v>662</v>
      </c>
      <c r="AB7" s="681"/>
      <c r="AC7" s="681"/>
      <c r="AE7" s="679" t="s">
        <v>758</v>
      </c>
      <c r="AF7" s="680">
        <f>'PPA MLP Inputs'!G101</f>
        <v>491</v>
      </c>
      <c r="AG7" s="681"/>
      <c r="AH7" s="681"/>
      <c r="AJ7" s="679" t="s">
        <v>758</v>
      </c>
      <c r="AK7" s="680">
        <f>'PPA MLP Inputs'!G114</f>
        <v>861</v>
      </c>
      <c r="AL7" s="681"/>
      <c r="AM7" s="681"/>
      <c r="AO7" s="679" t="s">
        <v>758</v>
      </c>
      <c r="AP7" s="680">
        <f>'PPA MLP Inputs'!G127</f>
        <v>250</v>
      </c>
      <c r="AQ7" s="681"/>
      <c r="AR7" s="681"/>
    </row>
    <row r="8" spans="1:44" ht="17" thickBot="1">
      <c r="A8" s="682" t="s">
        <v>188</v>
      </c>
      <c r="B8" s="681">
        <f>'PPA MLP Inputs'!I23</f>
        <v>12</v>
      </c>
      <c r="C8" s="681"/>
      <c r="D8" s="683"/>
      <c r="E8" s="668"/>
      <c r="F8" s="682" t="s">
        <v>188</v>
      </c>
      <c r="G8" s="681">
        <f>'PPA MLP Inputs'!I36</f>
        <v>12</v>
      </c>
      <c r="H8" s="681"/>
      <c r="I8" s="683"/>
      <c r="J8" s="668"/>
      <c r="K8" s="682" t="s">
        <v>188</v>
      </c>
      <c r="L8" s="681">
        <f>'PPA MLP Inputs'!I49</f>
        <v>12</v>
      </c>
      <c r="M8" s="681"/>
      <c r="N8" s="683"/>
      <c r="O8" s="668"/>
      <c r="P8" s="682" t="s">
        <v>188</v>
      </c>
      <c r="Q8" s="681">
        <f>'PPA MLP Inputs'!I62</f>
        <v>12</v>
      </c>
      <c r="R8" s="681"/>
      <c r="S8" s="683"/>
      <c r="T8" s="551"/>
      <c r="U8" s="682" t="s">
        <v>188</v>
      </c>
      <c r="V8" s="681">
        <f>'PPA MLP Inputs'!I75</f>
        <v>12</v>
      </c>
      <c r="W8" s="681"/>
      <c r="X8" s="683"/>
      <c r="Z8" s="682" t="s">
        <v>188</v>
      </c>
      <c r="AA8" s="681">
        <f>'PPA MLP Inputs'!I88</f>
        <v>12</v>
      </c>
      <c r="AB8" s="681"/>
      <c r="AC8" s="683"/>
      <c r="AE8" s="682" t="s">
        <v>188</v>
      </c>
      <c r="AF8" s="681">
        <f>'PPA MLP Inputs'!I101</f>
        <v>12</v>
      </c>
      <c r="AG8" s="681"/>
      <c r="AH8" s="683"/>
      <c r="AJ8" s="682" t="s">
        <v>188</v>
      </c>
      <c r="AK8" s="681">
        <f>'PPA MLP Inputs'!I114</f>
        <v>12</v>
      </c>
      <c r="AL8" s="681"/>
      <c r="AM8" s="683"/>
      <c r="AO8" s="682" t="s">
        <v>188</v>
      </c>
      <c r="AP8" s="681">
        <f>'PPA MLP Inputs'!I127</f>
        <v>2</v>
      </c>
      <c r="AQ8" s="681"/>
      <c r="AR8" s="683"/>
    </row>
    <row r="9" spans="1:44" ht="16" thickBot="1">
      <c r="A9" s="679" t="s">
        <v>759</v>
      </c>
      <c r="B9" s="680">
        <f>B7*B8</f>
        <v>2400</v>
      </c>
      <c r="C9" s="684"/>
      <c r="D9" s="685"/>
      <c r="E9" s="668"/>
      <c r="F9" s="679" t="s">
        <v>759</v>
      </c>
      <c r="G9" s="680">
        <f>G7*G8</f>
        <v>4200</v>
      </c>
      <c r="H9" s="684"/>
      <c r="I9" s="685"/>
      <c r="J9" s="668"/>
      <c r="K9" s="679" t="s">
        <v>759</v>
      </c>
      <c r="L9" s="680">
        <f>L7*L8</f>
        <v>3360</v>
      </c>
      <c r="M9" s="684"/>
      <c r="N9" s="685"/>
      <c r="O9" s="668"/>
      <c r="P9" s="679" t="s">
        <v>759</v>
      </c>
      <c r="Q9" s="680">
        <f>Q7*Q8</f>
        <v>5880</v>
      </c>
      <c r="R9" s="684"/>
      <c r="S9" s="685">
        <v>3599760</v>
      </c>
      <c r="T9" s="556"/>
      <c r="U9" s="679" t="s">
        <v>759</v>
      </c>
      <c r="V9" s="680">
        <f>V7*V8</f>
        <v>4536</v>
      </c>
      <c r="W9" s="684"/>
      <c r="X9" s="685"/>
      <c r="Z9" s="679" t="s">
        <v>759</v>
      </c>
      <c r="AA9" s="680">
        <f>AA7*AA8</f>
        <v>7944</v>
      </c>
      <c r="AB9" s="684"/>
      <c r="AC9" s="685"/>
      <c r="AE9" s="679" t="s">
        <v>759</v>
      </c>
      <c r="AF9" s="680">
        <f>AF7*AF8</f>
        <v>5892</v>
      </c>
      <c r="AG9" s="684"/>
      <c r="AH9" s="685"/>
      <c r="AJ9" s="679" t="s">
        <v>759</v>
      </c>
      <c r="AK9" s="680">
        <f>AK7*AK8</f>
        <v>10332</v>
      </c>
      <c r="AL9" s="684"/>
      <c r="AM9" s="685"/>
      <c r="AO9" s="679" t="s">
        <v>759</v>
      </c>
      <c r="AP9" s="680">
        <f>AP7*AP8</f>
        <v>500</v>
      </c>
      <c r="AQ9" s="684"/>
      <c r="AR9" s="685"/>
    </row>
    <row r="10" spans="1:44" ht="16" thickBot="1">
      <c r="A10" s="679" t="s">
        <v>192</v>
      </c>
      <c r="B10" s="681">
        <f>'PPA MLP Inputs'!K23</f>
        <v>10</v>
      </c>
      <c r="C10" s="684"/>
      <c r="D10" s="686"/>
      <c r="E10" s="668"/>
      <c r="F10" s="679" t="s">
        <v>192</v>
      </c>
      <c r="G10" s="681">
        <f>'PPA MLP Inputs'!I36</f>
        <v>12</v>
      </c>
      <c r="H10" s="684"/>
      <c r="I10" s="686"/>
      <c r="J10" s="668"/>
      <c r="K10" s="679" t="s">
        <v>192</v>
      </c>
      <c r="L10" s="681">
        <f>'PPA MLP Inputs'!K49</f>
        <v>10</v>
      </c>
      <c r="M10" s="684"/>
      <c r="N10" s="686"/>
      <c r="O10" s="668"/>
      <c r="P10" s="679" t="s">
        <v>192</v>
      </c>
      <c r="Q10" s="681">
        <f>'PPA MLP Inputs'!K62</f>
        <v>12</v>
      </c>
      <c r="R10" s="684"/>
      <c r="S10" s="686" t="s">
        <v>760</v>
      </c>
      <c r="T10" s="558"/>
      <c r="U10" s="679" t="s">
        <v>192</v>
      </c>
      <c r="V10" s="681">
        <f>'PPA MLP Inputs'!K75</f>
        <v>10</v>
      </c>
      <c r="W10" s="684"/>
      <c r="X10" s="686"/>
      <c r="Z10" s="679" t="s">
        <v>192</v>
      </c>
      <c r="AA10" s="681">
        <f>'PPA MLP Inputs'!K88</f>
        <v>12</v>
      </c>
      <c r="AB10" s="684"/>
      <c r="AC10" s="686"/>
      <c r="AE10" s="679" t="s">
        <v>192</v>
      </c>
      <c r="AF10" s="681">
        <f>'PPA MLP Inputs'!K101</f>
        <v>10</v>
      </c>
      <c r="AG10" s="684"/>
      <c r="AH10" s="686"/>
      <c r="AJ10" s="679" t="s">
        <v>192</v>
      </c>
      <c r="AK10" s="681">
        <f>'PPA MLP Inputs'!K114</f>
        <v>12</v>
      </c>
      <c r="AL10" s="684"/>
      <c r="AM10" s="686"/>
      <c r="AO10" s="679" t="s">
        <v>192</v>
      </c>
      <c r="AP10" s="681">
        <f>'PPA MLP Inputs'!K127</f>
        <v>1</v>
      </c>
      <c r="AQ10" s="684"/>
      <c r="AR10" s="686"/>
    </row>
    <row r="11" spans="1:44" ht="16" thickBot="1">
      <c r="A11" s="687" t="s">
        <v>195</v>
      </c>
      <c r="B11" s="681">
        <f>'PPA MLP Inputs'!M23</f>
        <v>8</v>
      </c>
      <c r="C11" s="681"/>
      <c r="D11" s="681"/>
      <c r="E11" s="668"/>
      <c r="F11" s="687" t="s">
        <v>195</v>
      </c>
      <c r="G11" s="681">
        <f>'PPA MLP Inputs'!K36</f>
        <v>12</v>
      </c>
      <c r="H11" s="681"/>
      <c r="I11" s="681"/>
      <c r="J11" s="668"/>
      <c r="K11" s="687" t="s">
        <v>195</v>
      </c>
      <c r="L11" s="681">
        <f>'PPA MLP Inputs'!M49</f>
        <v>8</v>
      </c>
      <c r="M11" s="681"/>
      <c r="N11" s="681"/>
      <c r="O11" s="668"/>
      <c r="P11" s="687" t="s">
        <v>195</v>
      </c>
      <c r="Q11" s="681">
        <f>'PPA MLP Inputs'!M62</f>
        <v>5</v>
      </c>
      <c r="R11" s="681"/>
      <c r="S11" s="681"/>
      <c r="T11" s="558"/>
      <c r="U11" s="687" t="s">
        <v>195</v>
      </c>
      <c r="V11" s="681">
        <f>'PPA MLP Inputs'!M75</f>
        <v>8</v>
      </c>
      <c r="W11" s="681"/>
      <c r="X11" s="681"/>
      <c r="Z11" s="687" t="s">
        <v>195</v>
      </c>
      <c r="AA11" s="681">
        <f>'PPA MLP Inputs'!M88</f>
        <v>5</v>
      </c>
      <c r="AB11" s="681"/>
      <c r="AC11" s="681"/>
      <c r="AE11" s="687" t="s">
        <v>195</v>
      </c>
      <c r="AF11" s="681">
        <f>'PPA MLP Inputs'!M101</f>
        <v>8</v>
      </c>
      <c r="AG11" s="681"/>
      <c r="AH11" s="681"/>
      <c r="AJ11" s="687" t="s">
        <v>195</v>
      </c>
      <c r="AK11" s="681">
        <f>'PPA MLP Inputs'!M114</f>
        <v>5</v>
      </c>
      <c r="AL11" s="681"/>
      <c r="AM11" s="681"/>
      <c r="AO11" s="687" t="s">
        <v>195</v>
      </c>
      <c r="AP11" s="681">
        <f>'PPA MLP Inputs'!M127</f>
        <v>6</v>
      </c>
      <c r="AQ11" s="681"/>
      <c r="AR11" s="681"/>
    </row>
    <row r="12" spans="1:44" ht="16" thickBot="1">
      <c r="A12" s="679" t="s">
        <v>761</v>
      </c>
      <c r="B12" s="680">
        <f>B9*B10</f>
        <v>24000</v>
      </c>
      <c r="C12" s="681"/>
      <c r="D12" s="681"/>
      <c r="E12" s="668"/>
      <c r="F12" s="679" t="s">
        <v>761</v>
      </c>
      <c r="G12" s="680">
        <f>G9*G10</f>
        <v>50400</v>
      </c>
      <c r="H12" s="681"/>
      <c r="I12" s="681"/>
      <c r="J12" s="668"/>
      <c r="K12" s="679" t="s">
        <v>761</v>
      </c>
      <c r="L12" s="680">
        <f>L9*L10</f>
        <v>33600</v>
      </c>
      <c r="M12" s="681"/>
      <c r="N12" s="681"/>
      <c r="O12" s="668"/>
      <c r="P12" s="679" t="s">
        <v>761</v>
      </c>
      <c r="Q12" s="680">
        <f>Q9*Q10</f>
        <v>70560</v>
      </c>
      <c r="R12" s="681"/>
      <c r="S12" s="681"/>
      <c r="T12" s="551"/>
      <c r="U12" s="679" t="s">
        <v>761</v>
      </c>
      <c r="V12" s="680">
        <f>V9*V10</f>
        <v>45360</v>
      </c>
      <c r="W12" s="681"/>
      <c r="X12" s="681"/>
      <c r="Z12" s="679" t="s">
        <v>761</v>
      </c>
      <c r="AA12" s="680">
        <f>AA9*AA10</f>
        <v>95328</v>
      </c>
      <c r="AB12" s="681"/>
      <c r="AC12" s="681"/>
      <c r="AE12" s="679" t="s">
        <v>761</v>
      </c>
      <c r="AF12" s="680">
        <f>AF9*AF10</f>
        <v>58920</v>
      </c>
      <c r="AG12" s="681"/>
      <c r="AH12" s="681"/>
      <c r="AJ12" s="679" t="s">
        <v>761</v>
      </c>
      <c r="AK12" s="680">
        <f>AK9*AK10</f>
        <v>123984</v>
      </c>
      <c r="AL12" s="681"/>
      <c r="AM12" s="681"/>
      <c r="AO12" s="679" t="s">
        <v>761</v>
      </c>
      <c r="AP12" s="680">
        <f>AP9*AP10</f>
        <v>500</v>
      </c>
      <c r="AQ12" s="681"/>
      <c r="AR12" s="681"/>
    </row>
    <row r="13" spans="1:44" ht="16" thickBot="1">
      <c r="A13" s="679" t="s">
        <v>762</v>
      </c>
      <c r="B13" s="680">
        <f>B12*B11</f>
        <v>192000</v>
      </c>
      <c r="C13" s="681"/>
      <c r="D13" s="681"/>
      <c r="E13" s="668"/>
      <c r="F13" s="679" t="s">
        <v>762</v>
      </c>
      <c r="G13" s="680">
        <f>G12*G11</f>
        <v>604800</v>
      </c>
      <c r="H13" s="681"/>
      <c r="I13" s="681"/>
      <c r="J13" s="668"/>
      <c r="K13" s="679" t="s">
        <v>762</v>
      </c>
      <c r="L13" s="680">
        <f>L12*L11</f>
        <v>268800</v>
      </c>
      <c r="M13" s="681"/>
      <c r="N13" s="681"/>
      <c r="O13" s="668"/>
      <c r="P13" s="679" t="s">
        <v>762</v>
      </c>
      <c r="Q13" s="680">
        <f>Q12*Q11</f>
        <v>352800</v>
      </c>
      <c r="R13" s="681"/>
      <c r="S13" s="681"/>
      <c r="T13" s="560"/>
      <c r="U13" s="679" t="s">
        <v>762</v>
      </c>
      <c r="V13" s="680">
        <f>V12*V11</f>
        <v>362880</v>
      </c>
      <c r="W13" s="681"/>
      <c r="X13" s="681"/>
      <c r="Z13" s="679" t="s">
        <v>762</v>
      </c>
      <c r="AA13" s="680">
        <f>AA12*AA11</f>
        <v>476640</v>
      </c>
      <c r="AB13" s="681"/>
      <c r="AC13" s="681"/>
      <c r="AE13" s="679" t="s">
        <v>762</v>
      </c>
      <c r="AF13" s="680">
        <f>AF12*AF11</f>
        <v>471360</v>
      </c>
      <c r="AG13" s="681"/>
      <c r="AH13" s="681"/>
      <c r="AJ13" s="679" t="s">
        <v>762</v>
      </c>
      <c r="AK13" s="680">
        <f>AK12*AK11</f>
        <v>619920</v>
      </c>
      <c r="AL13" s="681"/>
      <c r="AM13" s="681"/>
      <c r="AO13" s="679" t="s">
        <v>762</v>
      </c>
      <c r="AP13" s="680">
        <f>AP12*AP11</f>
        <v>3000</v>
      </c>
      <c r="AQ13" s="681"/>
      <c r="AR13" s="681"/>
    </row>
    <row r="14" spans="1:44" ht="16" thickBot="1">
      <c r="A14" s="679" t="s">
        <v>763</v>
      </c>
      <c r="B14" s="688">
        <f>C18/B13</f>
        <v>0.67492708333333329</v>
      </c>
      <c r="C14" s="681"/>
      <c r="D14" s="689"/>
      <c r="E14" s="668"/>
      <c r="F14" s="679" t="s">
        <v>763</v>
      </c>
      <c r="G14" s="688">
        <f>H18/G13</f>
        <v>0.62495949074074075</v>
      </c>
      <c r="H14" s="681"/>
      <c r="I14" s="689"/>
      <c r="J14" s="668"/>
      <c r="K14" s="679" t="s">
        <v>763</v>
      </c>
      <c r="L14" s="688">
        <f>M18/L13</f>
        <v>0.67492708333333329</v>
      </c>
      <c r="M14" s="681"/>
      <c r="N14" s="689"/>
      <c r="O14" s="668"/>
      <c r="P14" s="679" t="s">
        <v>763</v>
      </c>
      <c r="Q14" s="688">
        <f>R18/Q13</f>
        <v>1.4999027777777776</v>
      </c>
      <c r="R14" s="681"/>
      <c r="S14" s="689">
        <v>2.08</v>
      </c>
      <c r="T14" s="551"/>
      <c r="U14" s="679" t="s">
        <v>763</v>
      </c>
      <c r="V14" s="688">
        <f>W18/V13</f>
        <v>0.6749270833333334</v>
      </c>
      <c r="W14" s="681"/>
      <c r="X14" s="689"/>
      <c r="Z14" s="679" t="s">
        <v>763</v>
      </c>
      <c r="AA14" s="688">
        <f>AB18/AA13</f>
        <v>1.4999027777777778</v>
      </c>
      <c r="AB14" s="681"/>
      <c r="AC14" s="689"/>
      <c r="AE14" s="679" t="s">
        <v>763</v>
      </c>
      <c r="AF14" s="688">
        <f>AG18/AF13</f>
        <v>0.67492708333333329</v>
      </c>
      <c r="AG14" s="681"/>
      <c r="AH14" s="689"/>
      <c r="AJ14" s="679" t="s">
        <v>763</v>
      </c>
      <c r="AK14" s="688">
        <f>AL18/AK13</f>
        <v>1.4999027777777778</v>
      </c>
      <c r="AL14" s="681"/>
      <c r="AM14" s="689"/>
      <c r="AO14" s="679" t="s">
        <v>763</v>
      </c>
      <c r="AP14" s="688">
        <f>AQ18/AP13</f>
        <v>49.999166666666667</v>
      </c>
      <c r="AQ14" s="681"/>
      <c r="AR14" s="689"/>
    </row>
    <row r="15" spans="1:44" ht="16" thickBot="1">
      <c r="A15" s="690"/>
      <c r="B15" s="691" t="s">
        <v>250</v>
      </c>
      <c r="C15" s="691" t="s">
        <v>764</v>
      </c>
      <c r="D15" s="691" t="s">
        <v>18</v>
      </c>
      <c r="E15" s="668"/>
      <c r="F15" s="690"/>
      <c r="G15" s="691" t="s">
        <v>250</v>
      </c>
      <c r="H15" s="691" t="s">
        <v>764</v>
      </c>
      <c r="I15" s="691" t="s">
        <v>18</v>
      </c>
      <c r="J15" s="668"/>
      <c r="K15" s="690"/>
      <c r="L15" s="691" t="s">
        <v>250</v>
      </c>
      <c r="M15" s="691" t="s">
        <v>764</v>
      </c>
      <c r="N15" s="691" t="s">
        <v>18</v>
      </c>
      <c r="O15" s="668"/>
      <c r="P15" s="690"/>
      <c r="Q15" s="691" t="s">
        <v>250</v>
      </c>
      <c r="R15" s="691" t="s">
        <v>764</v>
      </c>
      <c r="S15" s="691" t="s">
        <v>18</v>
      </c>
      <c r="T15" s="551"/>
      <c r="U15" s="690"/>
      <c r="V15" s="691" t="s">
        <v>250</v>
      </c>
      <c r="W15" s="691" t="s">
        <v>764</v>
      </c>
      <c r="X15" s="691" t="s">
        <v>18</v>
      </c>
      <c r="Z15" s="690"/>
      <c r="AA15" s="691" t="s">
        <v>250</v>
      </c>
      <c r="AB15" s="691" t="s">
        <v>764</v>
      </c>
      <c r="AC15" s="691" t="s">
        <v>18</v>
      </c>
      <c r="AE15" s="690"/>
      <c r="AF15" s="691" t="s">
        <v>250</v>
      </c>
      <c r="AG15" s="691" t="s">
        <v>764</v>
      </c>
      <c r="AH15" s="691" t="s">
        <v>18</v>
      </c>
      <c r="AJ15" s="690"/>
      <c r="AK15" s="691" t="s">
        <v>250</v>
      </c>
      <c r="AL15" s="691" t="s">
        <v>764</v>
      </c>
      <c r="AM15" s="691" t="s">
        <v>18</v>
      </c>
      <c r="AO15" s="690"/>
      <c r="AP15" s="691" t="s">
        <v>250</v>
      </c>
      <c r="AQ15" s="691" t="s">
        <v>764</v>
      </c>
      <c r="AR15" s="691" t="s">
        <v>18</v>
      </c>
    </row>
    <row r="16" spans="1:44" ht="16" thickBot="1">
      <c r="A16" s="692" t="s">
        <v>765</v>
      </c>
      <c r="B16" s="693">
        <f>ROUND(C16*$B$89,2)</f>
        <v>27</v>
      </c>
      <c r="C16" s="694">
        <f>ROUND(D16*'Ted Inputs'!$G$10,2)</f>
        <v>53.99</v>
      </c>
      <c r="D16" s="694">
        <f>C5</f>
        <v>89.99</v>
      </c>
      <c r="E16" s="668"/>
      <c r="F16" s="692" t="s">
        <v>765</v>
      </c>
      <c r="G16" s="693">
        <f>ROUND(H16*$B$89,2)</f>
        <v>45</v>
      </c>
      <c r="H16" s="694">
        <f>ROUND(I16*'Ted Inputs'!$G$10,2)</f>
        <v>89.99</v>
      </c>
      <c r="I16" s="694">
        <f>H5</f>
        <v>149.99</v>
      </c>
      <c r="J16" s="668"/>
      <c r="K16" s="692" t="s">
        <v>765</v>
      </c>
      <c r="L16" s="693">
        <f>ROUND(M16*$B$89,2)</f>
        <v>27</v>
      </c>
      <c r="M16" s="694">
        <f>ROUND(N16*'Ted Inputs'!$G$10,2)</f>
        <v>53.99</v>
      </c>
      <c r="N16" s="694">
        <f>M5</f>
        <v>89.99</v>
      </c>
      <c r="O16" s="668"/>
      <c r="P16" s="692" t="s">
        <v>765</v>
      </c>
      <c r="Q16" s="693">
        <f>ROUND(R16*$B$89,2)</f>
        <v>45</v>
      </c>
      <c r="R16" s="694">
        <f>ROUND(S16*'Ted Inputs'!$G$10,2)</f>
        <v>89.99</v>
      </c>
      <c r="S16" s="694">
        <f>R5</f>
        <v>149.99</v>
      </c>
      <c r="T16" s="551"/>
      <c r="U16" s="692" t="s">
        <v>765</v>
      </c>
      <c r="V16" s="693">
        <f>ROUND(W16*$B$89,2)</f>
        <v>27</v>
      </c>
      <c r="W16" s="694">
        <f>ROUND(X16*'Ted Inputs'!$G$10,2)</f>
        <v>53.99</v>
      </c>
      <c r="X16" s="694">
        <f>W5</f>
        <v>89.99</v>
      </c>
      <c r="Z16" s="692" t="s">
        <v>765</v>
      </c>
      <c r="AA16" s="693">
        <f>ROUND(AB16*$B$89,2)</f>
        <v>45</v>
      </c>
      <c r="AB16" s="694">
        <f>ROUND(AC16*'Ted Inputs'!$G$10,2)</f>
        <v>89.99</v>
      </c>
      <c r="AC16" s="694">
        <f>AB5</f>
        <v>149.99</v>
      </c>
      <c r="AE16" s="692" t="s">
        <v>765</v>
      </c>
      <c r="AF16" s="693">
        <f>ROUND(AG16*$B$89,2)</f>
        <v>27</v>
      </c>
      <c r="AG16" s="694">
        <f>ROUND(AH16*'Ted Inputs'!$G$10,2)</f>
        <v>53.99</v>
      </c>
      <c r="AH16" s="694">
        <f>AG5</f>
        <v>89.99</v>
      </c>
      <c r="AJ16" s="692" t="s">
        <v>765</v>
      </c>
      <c r="AK16" s="693">
        <f>ROUND(AL16*$B$89,2)</f>
        <v>45</v>
      </c>
      <c r="AL16" s="694">
        <f>ROUND(AM16*'Ted Inputs'!$G$10,2)</f>
        <v>89.99</v>
      </c>
      <c r="AM16" s="694">
        <f>AL5</f>
        <v>149.99</v>
      </c>
      <c r="AO16" s="692" t="s">
        <v>765</v>
      </c>
      <c r="AP16" s="693">
        <f>ROUND(AQ16*$B$89,2)</f>
        <v>150</v>
      </c>
      <c r="AQ16" s="694">
        <f>ROUND(AR16*'Ted Inputs'!$G$10,2)</f>
        <v>299.99</v>
      </c>
      <c r="AR16" s="694">
        <f>AQ5</f>
        <v>499.99</v>
      </c>
    </row>
    <row r="17" spans="1:44" ht="16" thickBot="1">
      <c r="A17" s="692" t="s">
        <v>766</v>
      </c>
      <c r="B17" s="693">
        <f>ROUND(C17*$B$89,2)</f>
        <v>323.97000000000003</v>
      </c>
      <c r="C17" s="695">
        <f>ROUND(D17*'Ted Inputs'!$G$10,2)</f>
        <v>647.92999999999995</v>
      </c>
      <c r="D17" s="695">
        <f>ROUND(D16*B8,2)</f>
        <v>1079.8800000000001</v>
      </c>
      <c r="E17" s="668"/>
      <c r="F17" s="692" t="s">
        <v>766</v>
      </c>
      <c r="G17" s="693">
        <f>ROUND(H17*$B$89,2)</f>
        <v>539.97</v>
      </c>
      <c r="H17" s="695">
        <f>ROUND(I17*'Ted Inputs'!$G$10,2)</f>
        <v>1079.93</v>
      </c>
      <c r="I17" s="695">
        <f>ROUND(I16*G8,2)</f>
        <v>1799.88</v>
      </c>
      <c r="J17" s="668"/>
      <c r="K17" s="692" t="s">
        <v>766</v>
      </c>
      <c r="L17" s="693">
        <f>ROUND(M17*$B$89,2)</f>
        <v>323.97000000000003</v>
      </c>
      <c r="M17" s="695">
        <f>ROUND(N17*'Ted Inputs'!$G$10,2)</f>
        <v>647.92999999999995</v>
      </c>
      <c r="N17" s="695">
        <f>ROUND(N16*L8,2)</f>
        <v>1079.8800000000001</v>
      </c>
      <c r="O17" s="668"/>
      <c r="P17" s="692" t="s">
        <v>766</v>
      </c>
      <c r="Q17" s="693">
        <f>ROUND(R17*$B$89,2)</f>
        <v>539.97</v>
      </c>
      <c r="R17" s="695">
        <f>ROUND(S17*'Ted Inputs'!$G$10,2)</f>
        <v>1079.93</v>
      </c>
      <c r="S17" s="695">
        <f>ROUND(S16*Q8,2)</f>
        <v>1799.88</v>
      </c>
      <c r="T17" s="551"/>
      <c r="U17" s="692" t="s">
        <v>766</v>
      </c>
      <c r="V17" s="693">
        <f>ROUND(W17*$B$89,2)</f>
        <v>323.97000000000003</v>
      </c>
      <c r="W17" s="695">
        <f>ROUND(X17*'Ted Inputs'!$G$10,2)</f>
        <v>647.92999999999995</v>
      </c>
      <c r="X17" s="695">
        <f>ROUND(X16*V8,2)</f>
        <v>1079.8800000000001</v>
      </c>
      <c r="Z17" s="692" t="s">
        <v>766</v>
      </c>
      <c r="AA17" s="693">
        <f>ROUND(AB17*$B$89,2)</f>
        <v>539.97</v>
      </c>
      <c r="AB17" s="695">
        <f>ROUND(AC17*'Ted Inputs'!$G$10,2)</f>
        <v>1079.93</v>
      </c>
      <c r="AC17" s="695">
        <f>ROUND(AC16*AA8,2)</f>
        <v>1799.88</v>
      </c>
      <c r="AE17" s="692" t="s">
        <v>766</v>
      </c>
      <c r="AF17" s="693">
        <f>ROUND(AG17*$B$89,2)</f>
        <v>323.97000000000003</v>
      </c>
      <c r="AG17" s="695">
        <f>ROUND(AH17*'Ted Inputs'!$G$10,2)</f>
        <v>647.92999999999995</v>
      </c>
      <c r="AH17" s="695">
        <f>ROUND(AH16*AF8,2)</f>
        <v>1079.8800000000001</v>
      </c>
      <c r="AJ17" s="692" t="s">
        <v>766</v>
      </c>
      <c r="AK17" s="693">
        <f>ROUND(AL17*$B$89,2)</f>
        <v>539.97</v>
      </c>
      <c r="AL17" s="695">
        <f>ROUND(AM17*'Ted Inputs'!$G$10,2)</f>
        <v>1079.93</v>
      </c>
      <c r="AM17" s="695">
        <f>ROUND(AM16*AK8,2)</f>
        <v>1799.88</v>
      </c>
      <c r="AO17" s="692" t="s">
        <v>766</v>
      </c>
      <c r="AP17" s="693">
        <f>ROUND(AQ17*$B$89,2)</f>
        <v>300</v>
      </c>
      <c r="AQ17" s="695">
        <f>ROUND(AR17*'Ted Inputs'!$G$10,2)</f>
        <v>599.99</v>
      </c>
      <c r="AR17" s="695">
        <f>ROUND(AR16*AP8,2)</f>
        <v>999.98</v>
      </c>
    </row>
    <row r="18" spans="1:44" ht="16" thickBot="1">
      <c r="A18" s="692" t="s">
        <v>767</v>
      </c>
      <c r="B18" s="693">
        <f>ROUND(B17*$B$7,2)</f>
        <v>64794</v>
      </c>
      <c r="C18" s="695">
        <f>ROUND(C17*B7,2)</f>
        <v>129586</v>
      </c>
      <c r="D18" s="695">
        <f>ROUND(D17*B7,2)</f>
        <v>215976</v>
      </c>
      <c r="E18" s="668"/>
      <c r="F18" s="692" t="s">
        <v>767</v>
      </c>
      <c r="G18" s="693">
        <f>ROUND(G17*$B$7,2)</f>
        <v>107994</v>
      </c>
      <c r="H18" s="695">
        <f>ROUND(H17*G7,2)</f>
        <v>377975.5</v>
      </c>
      <c r="I18" s="695">
        <f>ROUND(I17*G7,2)</f>
        <v>629958</v>
      </c>
      <c r="J18" s="668"/>
      <c r="K18" s="692" t="s">
        <v>767</v>
      </c>
      <c r="L18" s="693">
        <f>ROUND(L17*$B$7,2)</f>
        <v>64794</v>
      </c>
      <c r="M18" s="695">
        <f>ROUND(M17*L7,2)</f>
        <v>181420.4</v>
      </c>
      <c r="N18" s="695">
        <f>ROUND(N17*L7,2)</f>
        <v>302366.40000000002</v>
      </c>
      <c r="O18" s="668"/>
      <c r="P18" s="692" t="s">
        <v>767</v>
      </c>
      <c r="Q18" s="693">
        <f>ROUND(Q17*$B$7,2)</f>
        <v>107994</v>
      </c>
      <c r="R18" s="695">
        <f>ROUND(R17*Q7,2)</f>
        <v>529165.69999999995</v>
      </c>
      <c r="S18" s="695">
        <f>ROUND(S17*Q7,2)</f>
        <v>881941.2</v>
      </c>
      <c r="T18" s="551"/>
      <c r="U18" s="692" t="s">
        <v>767</v>
      </c>
      <c r="V18" s="693">
        <f>ROUND(V17*$B$7,2)</f>
        <v>64794</v>
      </c>
      <c r="W18" s="695">
        <f>ROUND(W17*V7,2)</f>
        <v>244917.54</v>
      </c>
      <c r="X18" s="695">
        <f>ROUND(X17*V7,2)</f>
        <v>408194.64</v>
      </c>
      <c r="Z18" s="692" t="s">
        <v>767</v>
      </c>
      <c r="AA18" s="693">
        <f>ROUND(AA17*$B$7,2)</f>
        <v>107994</v>
      </c>
      <c r="AB18" s="695">
        <f>ROUND(AB17*AA7,2)</f>
        <v>714913.66</v>
      </c>
      <c r="AC18" s="695">
        <f>ROUND(AC17*AA7,2)</f>
        <v>1191520.56</v>
      </c>
      <c r="AE18" s="692" t="s">
        <v>767</v>
      </c>
      <c r="AF18" s="693">
        <f>ROUND(AF17*$B$7,2)</f>
        <v>64794</v>
      </c>
      <c r="AG18" s="695">
        <f>ROUND(AG17*AF7,2)</f>
        <v>318133.63</v>
      </c>
      <c r="AH18" s="695">
        <f>ROUND(AH17*AF7,2)</f>
        <v>530221.07999999996</v>
      </c>
      <c r="AJ18" s="692" t="s">
        <v>767</v>
      </c>
      <c r="AK18" s="693">
        <f>ROUND(AK17*$B$7,2)</f>
        <v>107994</v>
      </c>
      <c r="AL18" s="695">
        <f>ROUND(AL17*AK7,2)</f>
        <v>929819.73</v>
      </c>
      <c r="AM18" s="695">
        <f>ROUND(AM17*AK7,2)</f>
        <v>1549696.68</v>
      </c>
      <c r="AO18" s="692" t="s">
        <v>767</v>
      </c>
      <c r="AP18" s="693">
        <f>ROUND(AP17*$B$7,2)</f>
        <v>60000</v>
      </c>
      <c r="AQ18" s="695">
        <f>ROUND(AQ17*AP7,2)</f>
        <v>149997.5</v>
      </c>
      <c r="AR18" s="695">
        <f>ROUND(AR17*AP7,2)</f>
        <v>249995</v>
      </c>
    </row>
    <row r="19" spans="1:44" ht="16" thickBot="1">
      <c r="A19" s="668"/>
      <c r="B19" s="668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551"/>
      <c r="U19" s="668"/>
      <c r="V19" s="668"/>
      <c r="W19" s="668"/>
      <c r="X19" s="668"/>
      <c r="Z19" s="668"/>
      <c r="AA19" s="668"/>
      <c r="AB19" s="668"/>
      <c r="AC19" s="668"/>
      <c r="AE19" s="668"/>
      <c r="AF19" s="668"/>
      <c r="AG19" s="668"/>
      <c r="AH19" s="668"/>
      <c r="AJ19" s="668"/>
      <c r="AK19" s="668"/>
      <c r="AL19" s="668"/>
      <c r="AM19" s="668"/>
      <c r="AO19" s="668"/>
      <c r="AP19" s="668"/>
      <c r="AQ19" s="668"/>
      <c r="AR19" s="668"/>
    </row>
    <row r="20" spans="1:44" ht="16" thickBot="1">
      <c r="A20" s="668"/>
      <c r="B20" s="668"/>
      <c r="C20" s="674" t="s">
        <v>754</v>
      </c>
      <c r="D20" s="675" t="s">
        <v>755</v>
      </c>
      <c r="E20" s="668"/>
      <c r="F20" s="668"/>
      <c r="G20" s="668"/>
      <c r="H20" s="674" t="s">
        <v>754</v>
      </c>
      <c r="I20" s="675" t="s">
        <v>755</v>
      </c>
      <c r="J20" s="668"/>
      <c r="K20" s="668"/>
      <c r="L20" s="668"/>
      <c r="M20" s="674" t="s">
        <v>754</v>
      </c>
      <c r="N20" s="675" t="s">
        <v>755</v>
      </c>
      <c r="O20" s="668"/>
      <c r="P20" s="668"/>
      <c r="Q20" s="668"/>
      <c r="R20" s="674" t="s">
        <v>754</v>
      </c>
      <c r="S20" s="675" t="s">
        <v>755</v>
      </c>
      <c r="T20" s="551"/>
      <c r="U20" s="668"/>
      <c r="V20" s="668"/>
      <c r="W20" s="674" t="s">
        <v>754</v>
      </c>
      <c r="X20" s="675" t="s">
        <v>755</v>
      </c>
      <c r="Z20" s="668"/>
      <c r="AA20" s="668"/>
      <c r="AB20" s="674" t="s">
        <v>754</v>
      </c>
      <c r="AC20" s="675" t="s">
        <v>755</v>
      </c>
      <c r="AE20" s="668"/>
      <c r="AF20" s="668"/>
      <c r="AG20" s="674" t="s">
        <v>754</v>
      </c>
      <c r="AH20" s="675" t="s">
        <v>755</v>
      </c>
      <c r="AJ20" s="668"/>
      <c r="AK20" s="668"/>
      <c r="AL20" s="674" t="s">
        <v>754</v>
      </c>
      <c r="AM20" s="675" t="s">
        <v>755</v>
      </c>
      <c r="AO20" s="668"/>
      <c r="AP20" s="668"/>
      <c r="AQ20" s="674" t="s">
        <v>754</v>
      </c>
      <c r="AR20" s="675" t="s">
        <v>755</v>
      </c>
    </row>
    <row r="21" spans="1:44" s="677" customFormat="1" ht="16">
      <c r="A21" s="676" t="s">
        <v>853</v>
      </c>
      <c r="B21" s="1172" t="s">
        <v>18</v>
      </c>
      <c r="C21" s="1176">
        <f>'PPA MLP Inputs'!E24</f>
        <v>39.99</v>
      </c>
      <c r="D21" s="1178">
        <f>C21*B24</f>
        <v>399.90000000000003</v>
      </c>
      <c r="E21" s="1179"/>
      <c r="F21" s="676" t="s">
        <v>853</v>
      </c>
      <c r="G21" s="1172" t="s">
        <v>18</v>
      </c>
      <c r="H21" s="1176">
        <f>'PPA MLP Inputs'!E37</f>
        <v>39.99</v>
      </c>
      <c r="I21" s="1178">
        <f>H21*G24</f>
        <v>399.90000000000003</v>
      </c>
      <c r="J21" s="1179"/>
      <c r="K21" s="676" t="s">
        <v>853</v>
      </c>
      <c r="L21" s="1172" t="s">
        <v>18</v>
      </c>
      <c r="M21" s="1176">
        <f>'PPA MLP Inputs'!E50</f>
        <v>39.99</v>
      </c>
      <c r="N21" s="1178">
        <f>M21*L24</f>
        <v>399.90000000000003</v>
      </c>
      <c r="O21" s="1180"/>
      <c r="P21" s="676" t="s">
        <v>853</v>
      </c>
      <c r="Q21" s="1172" t="s">
        <v>18</v>
      </c>
      <c r="R21" s="1176">
        <f>'PPA MLP Inputs'!E63</f>
        <v>39.99</v>
      </c>
      <c r="S21" s="1178">
        <f>R21*Q24</f>
        <v>399.90000000000003</v>
      </c>
      <c r="T21" s="569"/>
      <c r="U21" s="676" t="s">
        <v>853</v>
      </c>
      <c r="V21" s="1172" t="s">
        <v>18</v>
      </c>
      <c r="W21" s="1176">
        <f>'PPA MLP Inputs'!E76</f>
        <v>39.99</v>
      </c>
      <c r="X21" s="1178">
        <f>W21*V24</f>
        <v>399.90000000000003</v>
      </c>
      <c r="Z21" s="676" t="s">
        <v>853</v>
      </c>
      <c r="AA21" s="1172" t="s">
        <v>18</v>
      </c>
      <c r="AB21" s="1176">
        <f>'PPA MLP Inputs'!E89</f>
        <v>39.99</v>
      </c>
      <c r="AC21" s="1178">
        <f>AB21*AA24</f>
        <v>399.90000000000003</v>
      </c>
      <c r="AE21" s="676" t="s">
        <v>853</v>
      </c>
      <c r="AF21" s="1172" t="s">
        <v>18</v>
      </c>
      <c r="AG21" s="1176">
        <f>'PPA MLP Inputs'!E102</f>
        <v>39.99</v>
      </c>
      <c r="AH21" s="1178">
        <f>AG21*AF24</f>
        <v>399.90000000000003</v>
      </c>
      <c r="AJ21" s="676" t="s">
        <v>853</v>
      </c>
      <c r="AK21" s="1172" t="s">
        <v>18</v>
      </c>
      <c r="AL21" s="1176">
        <f>'PPA MLP Inputs'!E115</f>
        <v>39.99</v>
      </c>
      <c r="AM21" s="1178">
        <f>AL21*AK24</f>
        <v>399.90000000000003</v>
      </c>
      <c r="AO21" s="676" t="s">
        <v>853</v>
      </c>
      <c r="AP21" s="1172" t="s">
        <v>18</v>
      </c>
      <c r="AQ21" s="1176">
        <f>'PPA MLP Inputs'!E128</f>
        <v>0</v>
      </c>
      <c r="AR21" s="1178">
        <f>AQ21*AP24</f>
        <v>0</v>
      </c>
    </row>
    <row r="22" spans="1:44" s="677" customFormat="1" ht="16" thickBot="1">
      <c r="A22" s="678" t="s">
        <v>854</v>
      </c>
      <c r="B22" s="1173"/>
      <c r="C22" s="1177"/>
      <c r="D22" s="1175"/>
      <c r="E22" s="1179"/>
      <c r="F22" s="678" t="s">
        <v>854</v>
      </c>
      <c r="G22" s="1173"/>
      <c r="H22" s="1177"/>
      <c r="I22" s="1175"/>
      <c r="J22" s="1179"/>
      <c r="K22" s="678" t="s">
        <v>854</v>
      </c>
      <c r="L22" s="1173"/>
      <c r="M22" s="1177"/>
      <c r="N22" s="1175"/>
      <c r="O22" s="1180"/>
      <c r="P22" s="678" t="s">
        <v>854</v>
      </c>
      <c r="Q22" s="1173"/>
      <c r="R22" s="1177"/>
      <c r="S22" s="1175"/>
      <c r="T22" s="569"/>
      <c r="U22" s="678" t="s">
        <v>854</v>
      </c>
      <c r="V22" s="1173"/>
      <c r="W22" s="1177"/>
      <c r="X22" s="1175"/>
      <c r="Z22" s="678" t="s">
        <v>854</v>
      </c>
      <c r="AA22" s="1173"/>
      <c r="AB22" s="1177"/>
      <c r="AC22" s="1175"/>
      <c r="AE22" s="678" t="s">
        <v>854</v>
      </c>
      <c r="AF22" s="1173"/>
      <c r="AG22" s="1177"/>
      <c r="AH22" s="1175"/>
      <c r="AJ22" s="678" t="s">
        <v>854</v>
      </c>
      <c r="AK22" s="1173"/>
      <c r="AL22" s="1177"/>
      <c r="AM22" s="1175"/>
      <c r="AO22" s="678" t="s">
        <v>854</v>
      </c>
      <c r="AP22" s="1173"/>
      <c r="AQ22" s="1177"/>
      <c r="AR22" s="1175"/>
    </row>
    <row r="23" spans="1:44" ht="16" thickBot="1">
      <c r="A23" s="679" t="s">
        <v>758</v>
      </c>
      <c r="B23" s="680">
        <f>'PPA MLP Inputs'!G24</f>
        <v>750</v>
      </c>
      <c r="C23" s="681"/>
      <c r="D23" s="681"/>
      <c r="E23" s="668"/>
      <c r="F23" s="679" t="s">
        <v>758</v>
      </c>
      <c r="G23" s="680">
        <f>'PPA MLP Inputs'!G37</f>
        <v>300</v>
      </c>
      <c r="H23" s="681"/>
      <c r="I23" s="681"/>
      <c r="J23" s="668"/>
      <c r="K23" s="679" t="s">
        <v>758</v>
      </c>
      <c r="L23" s="680">
        <f>'PPA MLP Inputs'!G50</f>
        <v>1050</v>
      </c>
      <c r="M23" s="681"/>
      <c r="N23" s="681"/>
      <c r="O23" s="668"/>
      <c r="P23" s="679" t="s">
        <v>758</v>
      </c>
      <c r="Q23" s="680">
        <f>'PPA MLP Inputs'!G63</f>
        <v>420</v>
      </c>
      <c r="R23" s="681"/>
      <c r="S23" s="681"/>
      <c r="T23" s="551"/>
      <c r="U23" s="679" t="s">
        <v>758</v>
      </c>
      <c r="V23" s="680">
        <f>'PPA MLP Inputs'!G76</f>
        <v>1418</v>
      </c>
      <c r="W23" s="681"/>
      <c r="X23" s="681"/>
      <c r="Z23" s="679" t="s">
        <v>758</v>
      </c>
      <c r="AA23" s="680">
        <f>'PPA MLP Inputs'!G89</f>
        <v>567</v>
      </c>
      <c r="AB23" s="681"/>
      <c r="AC23" s="681"/>
      <c r="AE23" s="679" t="s">
        <v>758</v>
      </c>
      <c r="AF23" s="680">
        <f>'PPA MLP Inputs'!G102</f>
        <v>1843</v>
      </c>
      <c r="AG23" s="681"/>
      <c r="AH23" s="681"/>
      <c r="AJ23" s="679" t="s">
        <v>758</v>
      </c>
      <c r="AK23" s="680">
        <f>'PPA MLP Inputs'!G115</f>
        <v>737</v>
      </c>
      <c r="AL23" s="681"/>
      <c r="AM23" s="681"/>
      <c r="AO23" s="679" t="s">
        <v>758</v>
      </c>
      <c r="AP23" s="680">
        <f>'PPA MLP Inputs'!G128</f>
        <v>0</v>
      </c>
      <c r="AQ23" s="681"/>
      <c r="AR23" s="681"/>
    </row>
    <row r="24" spans="1:44" ht="17" thickBot="1">
      <c r="A24" s="682" t="s">
        <v>188</v>
      </c>
      <c r="B24" s="681">
        <f>'PPA MLP Inputs'!I24</f>
        <v>10</v>
      </c>
      <c r="C24" s="681"/>
      <c r="D24" s="683"/>
      <c r="E24" s="668"/>
      <c r="F24" s="682" t="s">
        <v>188</v>
      </c>
      <c r="G24" s="681">
        <f>'PPA MLP Inputs'!I37</f>
        <v>10</v>
      </c>
      <c r="H24" s="681"/>
      <c r="I24" s="683"/>
      <c r="J24" s="668"/>
      <c r="K24" s="682" t="s">
        <v>188</v>
      </c>
      <c r="L24" s="681">
        <f>'PPA MLP Inputs'!I50</f>
        <v>10</v>
      </c>
      <c r="M24" s="681"/>
      <c r="N24" s="683"/>
      <c r="O24" s="668"/>
      <c r="P24" s="682" t="s">
        <v>188</v>
      </c>
      <c r="Q24" s="681">
        <f>'PPA MLP Inputs'!I63</f>
        <v>10</v>
      </c>
      <c r="R24" s="681"/>
      <c r="S24" s="683"/>
      <c r="T24" s="551"/>
      <c r="U24" s="682" t="s">
        <v>188</v>
      </c>
      <c r="V24" s="681">
        <f>'PPA MLP Inputs'!I76</f>
        <v>10</v>
      </c>
      <c r="W24" s="681"/>
      <c r="X24" s="683"/>
      <c r="Z24" s="682" t="s">
        <v>188</v>
      </c>
      <c r="AA24" s="681">
        <f>'PPA MLP Inputs'!I89</f>
        <v>10</v>
      </c>
      <c r="AB24" s="681"/>
      <c r="AC24" s="683"/>
      <c r="AE24" s="682" t="s">
        <v>188</v>
      </c>
      <c r="AF24" s="681">
        <f>'PPA MLP Inputs'!I102</f>
        <v>10</v>
      </c>
      <c r="AG24" s="681"/>
      <c r="AH24" s="683"/>
      <c r="AJ24" s="682" t="s">
        <v>188</v>
      </c>
      <c r="AK24" s="681">
        <f>'PPA MLP Inputs'!I115</f>
        <v>10</v>
      </c>
      <c r="AL24" s="681"/>
      <c r="AM24" s="683"/>
      <c r="AO24" s="682" t="s">
        <v>188</v>
      </c>
      <c r="AP24" s="681">
        <f>'PPA MLP Inputs'!I128</f>
        <v>0</v>
      </c>
      <c r="AQ24" s="681"/>
      <c r="AR24" s="683"/>
    </row>
    <row r="25" spans="1:44" ht="16" thickBot="1">
      <c r="A25" s="679" t="s">
        <v>759</v>
      </c>
      <c r="B25" s="680">
        <f>B23*B24</f>
        <v>7500</v>
      </c>
      <c r="C25" s="684"/>
      <c r="D25" s="685"/>
      <c r="E25" s="668"/>
      <c r="F25" s="679" t="s">
        <v>759</v>
      </c>
      <c r="G25" s="680">
        <f>G23*G24</f>
        <v>3000</v>
      </c>
      <c r="H25" s="684"/>
      <c r="I25" s="685"/>
      <c r="J25" s="668"/>
      <c r="K25" s="679" t="s">
        <v>759</v>
      </c>
      <c r="L25" s="680">
        <f>L23*L24</f>
        <v>10500</v>
      </c>
      <c r="M25" s="684"/>
      <c r="N25" s="685"/>
      <c r="O25" s="668"/>
      <c r="P25" s="679" t="s">
        <v>759</v>
      </c>
      <c r="Q25" s="680">
        <f>Q23*Q24</f>
        <v>4200</v>
      </c>
      <c r="R25" s="684"/>
      <c r="S25" s="685"/>
      <c r="T25" s="551"/>
      <c r="U25" s="679" t="s">
        <v>759</v>
      </c>
      <c r="V25" s="680">
        <f>V23*V24</f>
        <v>14180</v>
      </c>
      <c r="W25" s="684"/>
      <c r="X25" s="685"/>
      <c r="Z25" s="679" t="s">
        <v>759</v>
      </c>
      <c r="AA25" s="680">
        <f>AA23*AA24</f>
        <v>5670</v>
      </c>
      <c r="AB25" s="684"/>
      <c r="AC25" s="685"/>
      <c r="AE25" s="679" t="s">
        <v>759</v>
      </c>
      <c r="AF25" s="680">
        <f>AF23*AF24</f>
        <v>18430</v>
      </c>
      <c r="AG25" s="684"/>
      <c r="AH25" s="685"/>
      <c r="AJ25" s="679" t="s">
        <v>759</v>
      </c>
      <c r="AK25" s="680">
        <f>AK23*AK24</f>
        <v>7370</v>
      </c>
      <c r="AL25" s="684"/>
      <c r="AM25" s="685"/>
      <c r="AO25" s="679" t="s">
        <v>759</v>
      </c>
      <c r="AP25" s="680">
        <f>AP23*AP24</f>
        <v>0</v>
      </c>
      <c r="AQ25" s="684"/>
      <c r="AR25" s="685"/>
    </row>
    <row r="26" spans="1:44" ht="16" thickBot="1">
      <c r="A26" s="679" t="s">
        <v>192</v>
      </c>
      <c r="B26" s="681">
        <f>'PPA MLP Inputs'!K24</f>
        <v>5</v>
      </c>
      <c r="C26" s="684"/>
      <c r="D26" s="686"/>
      <c r="E26" s="668"/>
      <c r="F26" s="679" t="s">
        <v>192</v>
      </c>
      <c r="G26" s="681">
        <f>'PPA MLP Inputs'!K37</f>
        <v>4</v>
      </c>
      <c r="H26" s="684"/>
      <c r="I26" s="686"/>
      <c r="J26" s="668"/>
      <c r="K26" s="679" t="s">
        <v>192</v>
      </c>
      <c r="L26" s="681">
        <f>'PPA MLP Inputs'!K50</f>
        <v>5</v>
      </c>
      <c r="M26" s="684"/>
      <c r="N26" s="686"/>
      <c r="O26" s="668"/>
      <c r="P26" s="679" t="s">
        <v>192</v>
      </c>
      <c r="Q26" s="681">
        <f>'PPA MLP Inputs'!K63</f>
        <v>4</v>
      </c>
      <c r="R26" s="684"/>
      <c r="S26" s="686"/>
      <c r="U26" s="679" t="s">
        <v>192</v>
      </c>
      <c r="V26" s="681">
        <f>'PPA MLP Inputs'!K76</f>
        <v>5</v>
      </c>
      <c r="W26" s="684"/>
      <c r="X26" s="686"/>
      <c r="Z26" s="679" t="s">
        <v>192</v>
      </c>
      <c r="AA26" s="681">
        <f>'PPA MLP Inputs'!K89</f>
        <v>4</v>
      </c>
      <c r="AB26" s="684"/>
      <c r="AC26" s="686"/>
      <c r="AE26" s="679" t="s">
        <v>192</v>
      </c>
      <c r="AF26" s="681">
        <f>'PPA MLP Inputs'!K102</f>
        <v>5</v>
      </c>
      <c r="AG26" s="684"/>
      <c r="AH26" s="686"/>
      <c r="AJ26" s="679" t="s">
        <v>192</v>
      </c>
      <c r="AK26" s="681">
        <f>'PPA MLP Inputs'!K115</f>
        <v>4</v>
      </c>
      <c r="AL26" s="684"/>
      <c r="AM26" s="686"/>
      <c r="AO26" s="679" t="s">
        <v>192</v>
      </c>
      <c r="AP26" s="681">
        <f>'PPA MLP Inputs'!K128</f>
        <v>0</v>
      </c>
      <c r="AQ26" s="684"/>
      <c r="AR26" s="686"/>
    </row>
    <row r="27" spans="1:44" ht="16" thickBot="1">
      <c r="A27" s="687" t="s">
        <v>195</v>
      </c>
      <c r="B27" s="681">
        <f>'PPA MLP Inputs'!M24</f>
        <v>8</v>
      </c>
      <c r="C27" s="681"/>
      <c r="D27" s="681"/>
      <c r="E27" s="668"/>
      <c r="F27" s="687" t="s">
        <v>195</v>
      </c>
      <c r="G27" s="681">
        <f>'PPA MLP Inputs'!M37</f>
        <v>5</v>
      </c>
      <c r="H27" s="681"/>
      <c r="I27" s="681"/>
      <c r="J27" s="668"/>
      <c r="K27" s="687" t="s">
        <v>195</v>
      </c>
      <c r="L27" s="681">
        <f>'PPA MLP Inputs'!M50</f>
        <v>8</v>
      </c>
      <c r="M27" s="681"/>
      <c r="N27" s="681"/>
      <c r="O27" s="668"/>
      <c r="P27" s="687" t="s">
        <v>195</v>
      </c>
      <c r="Q27" s="681">
        <f>'PPA MLP Inputs'!M63</f>
        <v>5</v>
      </c>
      <c r="R27" s="681"/>
      <c r="S27" s="681"/>
      <c r="U27" s="687" t="s">
        <v>195</v>
      </c>
      <c r="V27" s="681">
        <f>'PPA MLP Inputs'!M76</f>
        <v>8</v>
      </c>
      <c r="W27" s="681"/>
      <c r="X27" s="681"/>
      <c r="Z27" s="687" t="s">
        <v>195</v>
      </c>
      <c r="AA27" s="681">
        <f>'PPA MLP Inputs'!M89</f>
        <v>5</v>
      </c>
      <c r="AB27" s="681"/>
      <c r="AC27" s="681"/>
      <c r="AE27" s="687" t="s">
        <v>195</v>
      </c>
      <c r="AF27" s="681">
        <f>'PPA MLP Inputs'!M102</f>
        <v>8</v>
      </c>
      <c r="AG27" s="681"/>
      <c r="AH27" s="681"/>
      <c r="AJ27" s="687" t="s">
        <v>195</v>
      </c>
      <c r="AK27" s="681">
        <f>'PPA MLP Inputs'!M115</f>
        <v>5</v>
      </c>
      <c r="AL27" s="681"/>
      <c r="AM27" s="681"/>
      <c r="AO27" s="687" t="s">
        <v>195</v>
      </c>
      <c r="AP27" s="681">
        <f>'PPA MLP Inputs'!M128</f>
        <v>0</v>
      </c>
      <c r="AQ27" s="681"/>
      <c r="AR27" s="681"/>
    </row>
    <row r="28" spans="1:44" ht="16" thickBot="1">
      <c r="A28" s="679" t="s">
        <v>761</v>
      </c>
      <c r="B28" s="680">
        <f>B25*B26</f>
        <v>37500</v>
      </c>
      <c r="C28" s="681"/>
      <c r="D28" s="681"/>
      <c r="E28" s="668"/>
      <c r="F28" s="679" t="s">
        <v>761</v>
      </c>
      <c r="G28" s="680">
        <f>G25*G26</f>
        <v>12000</v>
      </c>
      <c r="H28" s="681"/>
      <c r="I28" s="681"/>
      <c r="J28" s="668"/>
      <c r="K28" s="679" t="s">
        <v>761</v>
      </c>
      <c r="L28" s="680">
        <f>L25*L26</f>
        <v>52500</v>
      </c>
      <c r="M28" s="681"/>
      <c r="N28" s="681"/>
      <c r="O28" s="668"/>
      <c r="P28" s="679" t="s">
        <v>761</v>
      </c>
      <c r="Q28" s="680">
        <f>Q25*Q26</f>
        <v>16800</v>
      </c>
      <c r="R28" s="681"/>
      <c r="S28" s="681"/>
      <c r="U28" s="679" t="s">
        <v>761</v>
      </c>
      <c r="V28" s="680">
        <f>V25*V26</f>
        <v>70900</v>
      </c>
      <c r="W28" s="681"/>
      <c r="X28" s="681"/>
      <c r="Z28" s="679" t="s">
        <v>761</v>
      </c>
      <c r="AA28" s="680">
        <f>AA25*AA26</f>
        <v>22680</v>
      </c>
      <c r="AB28" s="681"/>
      <c r="AC28" s="681"/>
      <c r="AE28" s="679" t="s">
        <v>761</v>
      </c>
      <c r="AF28" s="680">
        <f>AF25*AF26</f>
        <v>92150</v>
      </c>
      <c r="AG28" s="681"/>
      <c r="AH28" s="681"/>
      <c r="AJ28" s="679" t="s">
        <v>761</v>
      </c>
      <c r="AK28" s="680">
        <f>AK25*AK26</f>
        <v>29480</v>
      </c>
      <c r="AL28" s="681"/>
      <c r="AM28" s="681"/>
      <c r="AO28" s="679" t="s">
        <v>761</v>
      </c>
      <c r="AP28" s="680">
        <f>AP25*AP26</f>
        <v>0</v>
      </c>
      <c r="AQ28" s="681"/>
      <c r="AR28" s="681"/>
    </row>
    <row r="29" spans="1:44" ht="16" thickBot="1">
      <c r="A29" s="679" t="s">
        <v>762</v>
      </c>
      <c r="B29" s="680">
        <f>B28*B27</f>
        <v>300000</v>
      </c>
      <c r="C29" s="681"/>
      <c r="D29" s="681"/>
      <c r="E29" s="668"/>
      <c r="F29" s="679" t="s">
        <v>762</v>
      </c>
      <c r="G29" s="680">
        <f>G28*G27</f>
        <v>60000</v>
      </c>
      <c r="H29" s="681"/>
      <c r="I29" s="681"/>
      <c r="J29" s="668"/>
      <c r="K29" s="679" t="s">
        <v>762</v>
      </c>
      <c r="L29" s="680">
        <f>L28*L27</f>
        <v>420000</v>
      </c>
      <c r="M29" s="681"/>
      <c r="N29" s="681"/>
      <c r="O29" s="668"/>
      <c r="P29" s="679" t="s">
        <v>762</v>
      </c>
      <c r="Q29" s="680">
        <f>Q28*Q27</f>
        <v>84000</v>
      </c>
      <c r="R29" s="681"/>
      <c r="S29" s="681"/>
      <c r="U29" s="679" t="s">
        <v>762</v>
      </c>
      <c r="V29" s="680">
        <f>V28*V27</f>
        <v>567200</v>
      </c>
      <c r="W29" s="681"/>
      <c r="X29" s="681"/>
      <c r="Z29" s="679" t="s">
        <v>762</v>
      </c>
      <c r="AA29" s="680">
        <f>AA28*AA27</f>
        <v>113400</v>
      </c>
      <c r="AB29" s="681"/>
      <c r="AC29" s="681"/>
      <c r="AE29" s="679" t="s">
        <v>762</v>
      </c>
      <c r="AF29" s="680">
        <f>AF28*AF27</f>
        <v>737200</v>
      </c>
      <c r="AG29" s="681"/>
      <c r="AH29" s="681"/>
      <c r="AJ29" s="679" t="s">
        <v>762</v>
      </c>
      <c r="AK29" s="680">
        <f>AK28*AK27</f>
        <v>147400</v>
      </c>
      <c r="AL29" s="681"/>
      <c r="AM29" s="681"/>
      <c r="AO29" s="679" t="s">
        <v>762</v>
      </c>
      <c r="AP29" s="680">
        <f>AP28*AP27</f>
        <v>0</v>
      </c>
      <c r="AQ29" s="681"/>
      <c r="AR29" s="681"/>
    </row>
    <row r="30" spans="1:44" ht="16" thickBot="1">
      <c r="A30" s="679" t="s">
        <v>763</v>
      </c>
      <c r="B30" s="688">
        <f>C34/B29</f>
        <v>0.49987500000000001</v>
      </c>
      <c r="C30" s="681"/>
      <c r="D30" s="689"/>
      <c r="E30" s="668"/>
      <c r="F30" s="679" t="s">
        <v>763</v>
      </c>
      <c r="G30" s="688">
        <f>H34/G29</f>
        <v>0.99975000000000003</v>
      </c>
      <c r="H30" s="681"/>
      <c r="I30" s="689"/>
      <c r="J30" s="668"/>
      <c r="K30" s="679" t="s">
        <v>763</v>
      </c>
      <c r="L30" s="688">
        <f>M34/L29</f>
        <v>0.49987500000000001</v>
      </c>
      <c r="M30" s="681"/>
      <c r="N30" s="689"/>
      <c r="O30" s="668"/>
      <c r="P30" s="679" t="s">
        <v>763</v>
      </c>
      <c r="Q30" s="688">
        <f>R34/Q29</f>
        <v>0.99975000000000003</v>
      </c>
      <c r="R30" s="681"/>
      <c r="S30" s="689"/>
      <c r="U30" s="679" t="s">
        <v>763</v>
      </c>
      <c r="V30" s="688">
        <f>W34/V29</f>
        <v>0.49987499999999996</v>
      </c>
      <c r="W30" s="681"/>
      <c r="X30" s="689"/>
      <c r="Z30" s="679" t="s">
        <v>763</v>
      </c>
      <c r="AA30" s="688">
        <f>AB34/AA29</f>
        <v>0.99974999999999992</v>
      </c>
      <c r="AB30" s="681"/>
      <c r="AC30" s="689"/>
      <c r="AE30" s="679" t="s">
        <v>763</v>
      </c>
      <c r="AF30" s="688">
        <f>AG34/AF29</f>
        <v>0.49987499999999996</v>
      </c>
      <c r="AG30" s="681"/>
      <c r="AH30" s="689"/>
      <c r="AJ30" s="679" t="s">
        <v>763</v>
      </c>
      <c r="AK30" s="688">
        <f>AL34/AK29</f>
        <v>0.99974999999999992</v>
      </c>
      <c r="AL30" s="681"/>
      <c r="AM30" s="689"/>
      <c r="AO30" s="679" t="s">
        <v>763</v>
      </c>
      <c r="AP30" s="688" t="e">
        <f>AQ34/AP29</f>
        <v>#DIV/0!</v>
      </c>
      <c r="AQ30" s="681"/>
      <c r="AR30" s="689"/>
    </row>
    <row r="31" spans="1:44" ht="16" thickBot="1">
      <c r="A31" s="690"/>
      <c r="B31" s="691" t="s">
        <v>250</v>
      </c>
      <c r="C31" s="691" t="s">
        <v>764</v>
      </c>
      <c r="D31" s="691" t="s">
        <v>18</v>
      </c>
      <c r="E31" s="668"/>
      <c r="F31" s="690"/>
      <c r="G31" s="691" t="s">
        <v>250</v>
      </c>
      <c r="H31" s="691" t="s">
        <v>764</v>
      </c>
      <c r="I31" s="691" t="s">
        <v>18</v>
      </c>
      <c r="J31" s="668"/>
      <c r="K31" s="690"/>
      <c r="L31" s="691" t="s">
        <v>250</v>
      </c>
      <c r="M31" s="691" t="s">
        <v>764</v>
      </c>
      <c r="N31" s="691" t="s">
        <v>18</v>
      </c>
      <c r="O31" s="668"/>
      <c r="P31" s="690"/>
      <c r="Q31" s="691" t="s">
        <v>250</v>
      </c>
      <c r="R31" s="691" t="s">
        <v>764</v>
      </c>
      <c r="S31" s="691" t="s">
        <v>18</v>
      </c>
      <c r="U31" s="690"/>
      <c r="V31" s="691" t="s">
        <v>250</v>
      </c>
      <c r="W31" s="691" t="s">
        <v>764</v>
      </c>
      <c r="X31" s="691" t="s">
        <v>18</v>
      </c>
      <c r="Z31" s="690"/>
      <c r="AA31" s="691" t="s">
        <v>250</v>
      </c>
      <c r="AB31" s="691" t="s">
        <v>764</v>
      </c>
      <c r="AC31" s="691" t="s">
        <v>18</v>
      </c>
      <c r="AE31" s="690"/>
      <c r="AF31" s="691" t="s">
        <v>250</v>
      </c>
      <c r="AG31" s="691" t="s">
        <v>764</v>
      </c>
      <c r="AH31" s="691" t="s">
        <v>18</v>
      </c>
      <c r="AJ31" s="690"/>
      <c r="AK31" s="691" t="s">
        <v>250</v>
      </c>
      <c r="AL31" s="691" t="s">
        <v>764</v>
      </c>
      <c r="AM31" s="691" t="s">
        <v>18</v>
      </c>
      <c r="AO31" s="690"/>
      <c r="AP31" s="691" t="s">
        <v>250</v>
      </c>
      <c r="AQ31" s="691" t="s">
        <v>764</v>
      </c>
      <c r="AR31" s="691" t="s">
        <v>18</v>
      </c>
    </row>
    <row r="32" spans="1:44" ht="16" thickBot="1">
      <c r="A32" s="692" t="s">
        <v>765</v>
      </c>
      <c r="B32" s="693">
        <f>ROUND(C32*$B$89,2)</f>
        <v>10</v>
      </c>
      <c r="C32" s="694">
        <f>ROUND(D32*'Ted Inputs'!$G$11,2)</f>
        <v>20</v>
      </c>
      <c r="D32" s="694">
        <f>C21</f>
        <v>39.99</v>
      </c>
      <c r="E32" s="668"/>
      <c r="F32" s="692" t="s">
        <v>765</v>
      </c>
      <c r="G32" s="693">
        <f>ROUND(H32*$B$89,2)</f>
        <v>10</v>
      </c>
      <c r="H32" s="694">
        <f>ROUND(I32*'Ted Inputs'!$G$11,2)</f>
        <v>20</v>
      </c>
      <c r="I32" s="694">
        <f>H21</f>
        <v>39.99</v>
      </c>
      <c r="J32" s="668"/>
      <c r="K32" s="692" t="s">
        <v>765</v>
      </c>
      <c r="L32" s="693">
        <f>ROUND(M32*$B$89,2)</f>
        <v>10</v>
      </c>
      <c r="M32" s="694">
        <f>ROUND(N32*'Ted Inputs'!$G$11,2)</f>
        <v>20</v>
      </c>
      <c r="N32" s="694">
        <f>M21</f>
        <v>39.99</v>
      </c>
      <c r="O32" s="668"/>
      <c r="P32" s="692" t="s">
        <v>765</v>
      </c>
      <c r="Q32" s="693">
        <f>ROUND(R32*$B$89,2)</f>
        <v>10</v>
      </c>
      <c r="R32" s="694">
        <f>ROUND(S32*'Ted Inputs'!$G$11,2)</f>
        <v>20</v>
      </c>
      <c r="S32" s="694">
        <f>R21</f>
        <v>39.99</v>
      </c>
      <c r="U32" s="692" t="s">
        <v>765</v>
      </c>
      <c r="V32" s="693">
        <f>ROUND(W32*$B$89,2)</f>
        <v>10</v>
      </c>
      <c r="W32" s="694">
        <f>ROUND(X32*'Ted Inputs'!$G$11,2)</f>
        <v>20</v>
      </c>
      <c r="X32" s="694">
        <f>W21</f>
        <v>39.99</v>
      </c>
      <c r="Z32" s="692" t="s">
        <v>765</v>
      </c>
      <c r="AA32" s="693">
        <f>ROUND(AB32*$B$89,2)</f>
        <v>10</v>
      </c>
      <c r="AB32" s="694">
        <f>ROUND(AC32*'Ted Inputs'!$G$11,2)</f>
        <v>20</v>
      </c>
      <c r="AC32" s="694">
        <f>AB21</f>
        <v>39.99</v>
      </c>
      <c r="AE32" s="692" t="s">
        <v>765</v>
      </c>
      <c r="AF32" s="693">
        <f>ROUND(AG32*$B$89,2)</f>
        <v>10</v>
      </c>
      <c r="AG32" s="694">
        <f>ROUND(AH32*'Ted Inputs'!$G$11,2)</f>
        <v>20</v>
      </c>
      <c r="AH32" s="694">
        <f>AG21</f>
        <v>39.99</v>
      </c>
      <c r="AJ32" s="692" t="s">
        <v>765</v>
      </c>
      <c r="AK32" s="693">
        <f>ROUND(AL32*$B$89,2)</f>
        <v>10</v>
      </c>
      <c r="AL32" s="694">
        <f>ROUND(AM32*'Ted Inputs'!$G$11,2)</f>
        <v>20</v>
      </c>
      <c r="AM32" s="694">
        <f>AL21</f>
        <v>39.99</v>
      </c>
      <c r="AO32" s="692" t="s">
        <v>765</v>
      </c>
      <c r="AP32" s="693">
        <f>ROUND(AQ32*$B$89,2)</f>
        <v>0</v>
      </c>
      <c r="AQ32" s="694">
        <f>ROUND(AR32*'Ted Inputs'!$G$11,2)</f>
        <v>0</v>
      </c>
      <c r="AR32" s="694">
        <f>AQ21</f>
        <v>0</v>
      </c>
    </row>
    <row r="33" spans="1:44" ht="16" thickBot="1">
      <c r="A33" s="692" t="s">
        <v>766</v>
      </c>
      <c r="B33" s="693">
        <f>ROUND(C33*$B$89,2)</f>
        <v>99.98</v>
      </c>
      <c r="C33" s="695">
        <f>ROUND(D33*'Ted Inputs'!$G$11,2)</f>
        <v>199.95</v>
      </c>
      <c r="D33" s="695">
        <f>ROUND(D32*B24,2)</f>
        <v>399.9</v>
      </c>
      <c r="E33" s="668"/>
      <c r="F33" s="692" t="s">
        <v>766</v>
      </c>
      <c r="G33" s="693">
        <f>ROUND(H33*$B$89,2)</f>
        <v>99.98</v>
      </c>
      <c r="H33" s="695">
        <f>ROUND(I33*'Ted Inputs'!$G$11,2)</f>
        <v>199.95</v>
      </c>
      <c r="I33" s="695">
        <f>ROUND(I32*G24,2)</f>
        <v>399.9</v>
      </c>
      <c r="J33" s="668"/>
      <c r="K33" s="692" t="s">
        <v>766</v>
      </c>
      <c r="L33" s="693">
        <f>ROUND(M33*$B$89,2)</f>
        <v>99.98</v>
      </c>
      <c r="M33" s="695">
        <f>ROUND(N33*'Ted Inputs'!$G$11,2)</f>
        <v>199.95</v>
      </c>
      <c r="N33" s="695">
        <f>ROUND(N32*L24,2)</f>
        <v>399.9</v>
      </c>
      <c r="O33" s="668"/>
      <c r="P33" s="692" t="s">
        <v>766</v>
      </c>
      <c r="Q33" s="693">
        <f>ROUND(R33*$B$89,2)</f>
        <v>99.98</v>
      </c>
      <c r="R33" s="695">
        <f>ROUND(S33*'Ted Inputs'!$G$11,2)</f>
        <v>199.95</v>
      </c>
      <c r="S33" s="695">
        <f>ROUND(S32*Q24,2)</f>
        <v>399.9</v>
      </c>
      <c r="U33" s="692" t="s">
        <v>766</v>
      </c>
      <c r="V33" s="693">
        <f>ROUND(W33*$B$89,2)</f>
        <v>99.98</v>
      </c>
      <c r="W33" s="695">
        <f>ROUND(X33*'Ted Inputs'!$G$11,2)</f>
        <v>199.95</v>
      </c>
      <c r="X33" s="695">
        <f>ROUND(X32*V24,2)</f>
        <v>399.9</v>
      </c>
      <c r="Z33" s="692" t="s">
        <v>766</v>
      </c>
      <c r="AA33" s="693">
        <f>ROUND(AB33*$B$89,2)</f>
        <v>99.98</v>
      </c>
      <c r="AB33" s="695">
        <f>ROUND(AC33*'Ted Inputs'!$G$11,2)</f>
        <v>199.95</v>
      </c>
      <c r="AC33" s="695">
        <f>ROUND(AC32*AA24,2)</f>
        <v>399.9</v>
      </c>
      <c r="AE33" s="692" t="s">
        <v>766</v>
      </c>
      <c r="AF33" s="693">
        <f>ROUND(AG33*$B$89,2)</f>
        <v>99.98</v>
      </c>
      <c r="AG33" s="695">
        <f>ROUND(AH33*'Ted Inputs'!$G$11,2)</f>
        <v>199.95</v>
      </c>
      <c r="AH33" s="695">
        <f>ROUND(AH32*AF24,2)</f>
        <v>399.9</v>
      </c>
      <c r="AJ33" s="692" t="s">
        <v>766</v>
      </c>
      <c r="AK33" s="693">
        <f>ROUND(AL33*$B$89,2)</f>
        <v>99.98</v>
      </c>
      <c r="AL33" s="695">
        <f>ROUND(AM33*'Ted Inputs'!$G$11,2)</f>
        <v>199.95</v>
      </c>
      <c r="AM33" s="695">
        <f>ROUND(AM32*AK24,2)</f>
        <v>399.9</v>
      </c>
      <c r="AO33" s="692" t="s">
        <v>766</v>
      </c>
      <c r="AP33" s="693">
        <f>ROUND(AQ33*$B$89,2)</f>
        <v>0</v>
      </c>
      <c r="AQ33" s="695">
        <f>ROUND(AR33*'Ted Inputs'!$G$11,2)</f>
        <v>0</v>
      </c>
      <c r="AR33" s="695">
        <f>ROUND(AR32*AP24,2)</f>
        <v>0</v>
      </c>
    </row>
    <row r="34" spans="1:44" ht="16" thickBot="1">
      <c r="A34" s="692" t="s">
        <v>767</v>
      </c>
      <c r="B34" s="693">
        <f>ROUND(B33*$B23,2)</f>
        <v>74985</v>
      </c>
      <c r="C34" s="695">
        <f>ROUND(C33*B23,2)</f>
        <v>149962.5</v>
      </c>
      <c r="D34" s="695">
        <f>ROUND(D33*B23,2)</f>
        <v>299925</v>
      </c>
      <c r="E34" s="668"/>
      <c r="F34" s="692" t="s">
        <v>767</v>
      </c>
      <c r="G34" s="693">
        <f>ROUND(G33*$B23,2)</f>
        <v>74985</v>
      </c>
      <c r="H34" s="695">
        <f>ROUND(H33*G23,2)</f>
        <v>59985</v>
      </c>
      <c r="I34" s="695">
        <f>ROUND(I33*G23,2)</f>
        <v>119970</v>
      </c>
      <c r="J34" s="668"/>
      <c r="K34" s="692" t="s">
        <v>767</v>
      </c>
      <c r="L34" s="693">
        <f>ROUND(L33*$B23,2)</f>
        <v>74985</v>
      </c>
      <c r="M34" s="695">
        <f>ROUND(M33*L23,2)</f>
        <v>209947.5</v>
      </c>
      <c r="N34" s="695">
        <f>ROUND(N33*L23,2)</f>
        <v>419895</v>
      </c>
      <c r="O34" s="668"/>
      <c r="P34" s="692" t="s">
        <v>767</v>
      </c>
      <c r="Q34" s="693">
        <f>ROUND(Q33*$B23,2)</f>
        <v>74985</v>
      </c>
      <c r="R34" s="695">
        <f>ROUND(R33*Q23,2)</f>
        <v>83979</v>
      </c>
      <c r="S34" s="695">
        <f>ROUND(S33*Q23,2)</f>
        <v>167958</v>
      </c>
      <c r="U34" s="692" t="s">
        <v>767</v>
      </c>
      <c r="V34" s="693">
        <f>ROUND(V33*$B23,2)</f>
        <v>74985</v>
      </c>
      <c r="W34" s="695">
        <f>ROUND(W33*V23,2)</f>
        <v>283529.09999999998</v>
      </c>
      <c r="X34" s="695">
        <f>ROUND(X33*V23,2)</f>
        <v>567058.19999999995</v>
      </c>
      <c r="Z34" s="692" t="s">
        <v>767</v>
      </c>
      <c r="AA34" s="693">
        <f>ROUND(AA33*$B23,2)</f>
        <v>74985</v>
      </c>
      <c r="AB34" s="695">
        <f>ROUND(AB33*AA23,2)</f>
        <v>113371.65</v>
      </c>
      <c r="AC34" s="695">
        <f>ROUND(AC33*AA23,2)</f>
        <v>226743.3</v>
      </c>
      <c r="AE34" s="692" t="s">
        <v>767</v>
      </c>
      <c r="AF34" s="693">
        <f>ROUND(AF33*$B23,2)</f>
        <v>74985</v>
      </c>
      <c r="AG34" s="695">
        <f>ROUND(AG33*AF23,2)</f>
        <v>368507.85</v>
      </c>
      <c r="AH34" s="695">
        <f>ROUND(AH33*AF23,2)</f>
        <v>737015.7</v>
      </c>
      <c r="AJ34" s="692" t="s">
        <v>767</v>
      </c>
      <c r="AK34" s="693">
        <f>ROUND(AK33*$B23,2)</f>
        <v>74985</v>
      </c>
      <c r="AL34" s="695">
        <f>ROUND(AL33*AK23,2)</f>
        <v>147363.15</v>
      </c>
      <c r="AM34" s="695">
        <f>ROUND(AM33*AK23,2)</f>
        <v>294726.3</v>
      </c>
      <c r="AO34" s="692" t="s">
        <v>767</v>
      </c>
      <c r="AP34" s="693">
        <f>ROUND(AP33*$B23,2)</f>
        <v>0</v>
      </c>
      <c r="AQ34" s="695">
        <f>ROUND(AQ33*AP23,2)</f>
        <v>0</v>
      </c>
      <c r="AR34" s="695">
        <f>ROUND(AR33*AP23,2)</f>
        <v>0</v>
      </c>
    </row>
    <row r="35" spans="1:44" ht="16" thickBot="1">
      <c r="A35" s="668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  <c r="Q35" s="668"/>
      <c r="R35" s="668"/>
      <c r="S35" s="668"/>
      <c r="T35" s="551"/>
      <c r="U35" s="668"/>
      <c r="V35" s="668"/>
      <c r="W35" s="668"/>
      <c r="X35" s="668"/>
      <c r="Z35" s="668"/>
      <c r="AA35" s="668"/>
      <c r="AB35" s="668"/>
      <c r="AC35" s="668"/>
      <c r="AE35" s="668"/>
      <c r="AF35" s="668"/>
      <c r="AG35" s="668"/>
      <c r="AH35" s="668"/>
      <c r="AJ35" s="668"/>
      <c r="AK35" s="668"/>
      <c r="AL35" s="668"/>
      <c r="AM35" s="668"/>
      <c r="AO35" s="668"/>
      <c r="AP35" s="668"/>
      <c r="AQ35" s="668"/>
      <c r="AR35" s="668"/>
    </row>
    <row r="36" spans="1:44" ht="16" thickBot="1">
      <c r="A36" s="668"/>
      <c r="B36" s="668"/>
      <c r="C36" s="674" t="s">
        <v>754</v>
      </c>
      <c r="D36" s="675" t="s">
        <v>755</v>
      </c>
      <c r="E36" s="668"/>
      <c r="F36" s="668"/>
      <c r="G36" s="668"/>
      <c r="H36" s="674" t="s">
        <v>754</v>
      </c>
      <c r="I36" s="675" t="s">
        <v>755</v>
      </c>
      <c r="J36" s="668"/>
      <c r="K36" s="668"/>
      <c r="L36" s="668"/>
      <c r="M36" s="674" t="s">
        <v>754</v>
      </c>
      <c r="N36" s="675" t="s">
        <v>755</v>
      </c>
      <c r="O36" s="668"/>
      <c r="P36" s="668"/>
      <c r="Q36" s="668"/>
      <c r="R36" s="674" t="s">
        <v>754</v>
      </c>
      <c r="S36" s="675" t="s">
        <v>755</v>
      </c>
      <c r="T36" s="551"/>
      <c r="U36" s="668"/>
      <c r="V36" s="668"/>
      <c r="W36" s="674" t="s">
        <v>754</v>
      </c>
      <c r="X36" s="675" t="s">
        <v>755</v>
      </c>
      <c r="Z36" s="668"/>
      <c r="AA36" s="668"/>
      <c r="AB36" s="674" t="s">
        <v>754</v>
      </c>
      <c r="AC36" s="675" t="s">
        <v>755</v>
      </c>
      <c r="AE36" s="668"/>
      <c r="AF36" s="668"/>
      <c r="AG36" s="674" t="s">
        <v>754</v>
      </c>
      <c r="AH36" s="675" t="s">
        <v>755</v>
      </c>
      <c r="AJ36" s="668"/>
      <c r="AK36" s="668"/>
      <c r="AL36" s="674" t="s">
        <v>754</v>
      </c>
      <c r="AM36" s="675" t="s">
        <v>755</v>
      </c>
      <c r="AO36" s="668"/>
      <c r="AP36" s="668"/>
      <c r="AQ36" s="674" t="s">
        <v>754</v>
      </c>
      <c r="AR36" s="675" t="s">
        <v>755</v>
      </c>
    </row>
    <row r="37" spans="1:44" s="677" customFormat="1" ht="16">
      <c r="A37" s="676" t="s">
        <v>768</v>
      </c>
      <c r="B37" s="1172" t="s">
        <v>18</v>
      </c>
      <c r="C37" s="1176">
        <f>'PPA MLP Inputs'!E25</f>
        <v>29.99</v>
      </c>
      <c r="D37" s="1178">
        <f>C37*B40</f>
        <v>599.79999999999995</v>
      </c>
      <c r="E37" s="1179"/>
      <c r="F37" s="676" t="s">
        <v>768</v>
      </c>
      <c r="G37" s="1172" t="s">
        <v>18</v>
      </c>
      <c r="H37" s="1176">
        <f>'PPA MLP Inputs'!E38</f>
        <v>24.99</v>
      </c>
      <c r="I37" s="1178">
        <f>H37*G40</f>
        <v>499.79999999999995</v>
      </c>
      <c r="J37" s="1179"/>
      <c r="K37" s="676" t="s">
        <v>768</v>
      </c>
      <c r="L37" s="1172" t="s">
        <v>18</v>
      </c>
      <c r="M37" s="1176">
        <f>'PPA MLP Inputs'!E51</f>
        <v>29.99</v>
      </c>
      <c r="N37" s="1178">
        <f>M37*L40</f>
        <v>599.79999999999995</v>
      </c>
      <c r="O37" s="1180"/>
      <c r="P37" s="676" t="s">
        <v>768</v>
      </c>
      <c r="Q37" s="1172" t="s">
        <v>18</v>
      </c>
      <c r="R37" s="1176">
        <f>'PPA MLP Inputs'!E64</f>
        <v>24.99</v>
      </c>
      <c r="S37" s="1178">
        <f>R37*Q40</f>
        <v>499.79999999999995</v>
      </c>
      <c r="T37" s="569"/>
      <c r="U37" s="676" t="s">
        <v>768</v>
      </c>
      <c r="V37" s="1172" t="s">
        <v>18</v>
      </c>
      <c r="W37" s="1176">
        <f>'PPA MLP Inputs'!E77</f>
        <v>29.99</v>
      </c>
      <c r="X37" s="1178">
        <f>W37*V40</f>
        <v>599.79999999999995</v>
      </c>
      <c r="Z37" s="676" t="s">
        <v>768</v>
      </c>
      <c r="AA37" s="1172" t="s">
        <v>18</v>
      </c>
      <c r="AB37" s="1176">
        <f>'PPA MLP Inputs'!E90</f>
        <v>24.99</v>
      </c>
      <c r="AC37" s="1178">
        <f>AB37*AA40</f>
        <v>499.79999999999995</v>
      </c>
      <c r="AE37" s="676" t="s">
        <v>768</v>
      </c>
      <c r="AF37" s="1172" t="s">
        <v>18</v>
      </c>
      <c r="AG37" s="1176">
        <f>'PPA MLP Inputs'!E103</f>
        <v>29.99</v>
      </c>
      <c r="AH37" s="1178">
        <f>AG37*AF40</f>
        <v>599.79999999999995</v>
      </c>
      <c r="AJ37" s="676" t="s">
        <v>768</v>
      </c>
      <c r="AK37" s="1172" t="s">
        <v>18</v>
      </c>
      <c r="AL37" s="1176">
        <f>'PPA MLP Inputs'!E116</f>
        <v>24.99</v>
      </c>
      <c r="AM37" s="1178">
        <f>AL37*AK40</f>
        <v>499.79999999999995</v>
      </c>
      <c r="AO37" s="676" t="s">
        <v>768</v>
      </c>
      <c r="AP37" s="1172" t="s">
        <v>18</v>
      </c>
      <c r="AQ37" s="1176">
        <f>'PPA MLP Inputs'!E129</f>
        <v>0</v>
      </c>
      <c r="AR37" s="1178">
        <f>AQ37*AP40</f>
        <v>0</v>
      </c>
    </row>
    <row r="38" spans="1:44" s="677" customFormat="1" ht="16" thickBot="1">
      <c r="A38" s="678" t="s">
        <v>769</v>
      </c>
      <c r="B38" s="1173"/>
      <c r="C38" s="1177"/>
      <c r="D38" s="1175"/>
      <c r="E38" s="1179"/>
      <c r="F38" s="678" t="s">
        <v>769</v>
      </c>
      <c r="G38" s="1173"/>
      <c r="H38" s="1177"/>
      <c r="I38" s="1175"/>
      <c r="J38" s="1179"/>
      <c r="K38" s="678" t="s">
        <v>769</v>
      </c>
      <c r="L38" s="1173"/>
      <c r="M38" s="1177"/>
      <c r="N38" s="1175"/>
      <c r="O38" s="1180"/>
      <c r="P38" s="678" t="s">
        <v>769</v>
      </c>
      <c r="Q38" s="1173"/>
      <c r="R38" s="1177"/>
      <c r="S38" s="1175"/>
      <c r="T38" s="569"/>
      <c r="U38" s="678" t="s">
        <v>769</v>
      </c>
      <c r="V38" s="1173"/>
      <c r="W38" s="1177"/>
      <c r="X38" s="1175"/>
      <c r="Z38" s="678" t="s">
        <v>769</v>
      </c>
      <c r="AA38" s="1173"/>
      <c r="AB38" s="1177"/>
      <c r="AC38" s="1175"/>
      <c r="AE38" s="678" t="s">
        <v>769</v>
      </c>
      <c r="AF38" s="1173"/>
      <c r="AG38" s="1177"/>
      <c r="AH38" s="1175"/>
      <c r="AJ38" s="678" t="s">
        <v>769</v>
      </c>
      <c r="AK38" s="1173"/>
      <c r="AL38" s="1177"/>
      <c r="AM38" s="1175"/>
      <c r="AO38" s="678" t="s">
        <v>769</v>
      </c>
      <c r="AP38" s="1173"/>
      <c r="AQ38" s="1177"/>
      <c r="AR38" s="1175"/>
    </row>
    <row r="39" spans="1:44" ht="16" thickBot="1">
      <c r="A39" s="679" t="s">
        <v>758</v>
      </c>
      <c r="B39" s="680">
        <f>'PPA MLP Inputs'!G25</f>
        <v>500</v>
      </c>
      <c r="C39" s="681"/>
      <c r="D39" s="681"/>
      <c r="E39" s="668"/>
      <c r="F39" s="679" t="s">
        <v>758</v>
      </c>
      <c r="G39" s="680">
        <f>'PPA MLP Inputs'!G38</f>
        <v>250</v>
      </c>
      <c r="H39" s="681"/>
      <c r="I39" s="681"/>
      <c r="J39" s="668"/>
      <c r="K39" s="679" t="s">
        <v>758</v>
      </c>
      <c r="L39" s="680">
        <f>'PPA MLP Inputs'!G51</f>
        <v>700</v>
      </c>
      <c r="M39" s="681"/>
      <c r="N39" s="681"/>
      <c r="O39" s="668"/>
      <c r="P39" s="679" t="s">
        <v>758</v>
      </c>
      <c r="Q39" s="680">
        <f>'PPA MLP Inputs'!G64</f>
        <v>350</v>
      </c>
      <c r="R39" s="681"/>
      <c r="S39" s="681"/>
      <c r="T39" s="551"/>
      <c r="U39" s="679" t="s">
        <v>758</v>
      </c>
      <c r="V39" s="680">
        <f>'PPA MLP Inputs'!G77</f>
        <v>945</v>
      </c>
      <c r="W39" s="681"/>
      <c r="X39" s="681"/>
      <c r="Z39" s="679" t="s">
        <v>758</v>
      </c>
      <c r="AA39" s="680">
        <f>'PPA MLP Inputs'!G90</f>
        <v>473</v>
      </c>
      <c r="AB39" s="681"/>
      <c r="AC39" s="681"/>
      <c r="AE39" s="679" t="s">
        <v>758</v>
      </c>
      <c r="AF39" s="680">
        <f>'PPA MLP Inputs'!G103</f>
        <v>1228</v>
      </c>
      <c r="AG39" s="681"/>
      <c r="AH39" s="681"/>
      <c r="AJ39" s="679" t="s">
        <v>758</v>
      </c>
      <c r="AK39" s="680">
        <f>'PPA MLP Inputs'!G116</f>
        <v>615</v>
      </c>
      <c r="AL39" s="681"/>
      <c r="AM39" s="681"/>
      <c r="AO39" s="679" t="s">
        <v>758</v>
      </c>
      <c r="AP39" s="680">
        <f>'PPA MLP Inputs'!G129</f>
        <v>0</v>
      </c>
      <c r="AQ39" s="681"/>
      <c r="AR39" s="681"/>
    </row>
    <row r="40" spans="1:44" ht="17" thickBot="1">
      <c r="A40" s="682" t="s">
        <v>188</v>
      </c>
      <c r="B40" s="681">
        <f>'PPA MLP Inputs'!I25</f>
        <v>20</v>
      </c>
      <c r="C40" s="681"/>
      <c r="D40" s="683"/>
      <c r="E40" s="668"/>
      <c r="F40" s="682" t="s">
        <v>188</v>
      </c>
      <c r="G40" s="681">
        <f>'PPA MLP Inputs'!I38</f>
        <v>20</v>
      </c>
      <c r="H40" s="681"/>
      <c r="I40" s="683"/>
      <c r="J40" s="668"/>
      <c r="K40" s="682" t="s">
        <v>188</v>
      </c>
      <c r="L40" s="681">
        <f>'PPA MLP Inputs'!I51</f>
        <v>20</v>
      </c>
      <c r="M40" s="681"/>
      <c r="N40" s="683"/>
      <c r="O40" s="668"/>
      <c r="P40" s="682" t="s">
        <v>188</v>
      </c>
      <c r="Q40" s="681">
        <f>'PPA MLP Inputs'!I64</f>
        <v>20</v>
      </c>
      <c r="R40" s="681"/>
      <c r="S40" s="683"/>
      <c r="T40" s="551"/>
      <c r="U40" s="682" t="s">
        <v>188</v>
      </c>
      <c r="V40" s="681">
        <f>'PPA MLP Inputs'!I77</f>
        <v>20</v>
      </c>
      <c r="W40" s="681"/>
      <c r="X40" s="683"/>
      <c r="Z40" s="682" t="s">
        <v>188</v>
      </c>
      <c r="AA40" s="681">
        <f>'PPA MLP Inputs'!I90</f>
        <v>20</v>
      </c>
      <c r="AB40" s="681"/>
      <c r="AC40" s="683"/>
      <c r="AE40" s="682" t="s">
        <v>188</v>
      </c>
      <c r="AF40" s="681">
        <f>'PPA MLP Inputs'!I103</f>
        <v>20</v>
      </c>
      <c r="AG40" s="681"/>
      <c r="AH40" s="683"/>
      <c r="AJ40" s="682" t="s">
        <v>188</v>
      </c>
      <c r="AK40" s="681">
        <f>'PPA MLP Inputs'!I116</f>
        <v>20</v>
      </c>
      <c r="AL40" s="681"/>
      <c r="AM40" s="683"/>
      <c r="AO40" s="682" t="s">
        <v>188</v>
      </c>
      <c r="AP40" s="681">
        <f>'PPA MLP Inputs'!I129</f>
        <v>0</v>
      </c>
      <c r="AQ40" s="681"/>
      <c r="AR40" s="683"/>
    </row>
    <row r="41" spans="1:44" ht="16" thickBot="1">
      <c r="A41" s="679" t="s">
        <v>759</v>
      </c>
      <c r="B41" s="680">
        <f>B39*B40</f>
        <v>10000</v>
      </c>
      <c r="C41" s="684"/>
      <c r="D41" s="685"/>
      <c r="E41" s="668"/>
      <c r="F41" s="679" t="s">
        <v>759</v>
      </c>
      <c r="G41" s="680">
        <f>G39*G40</f>
        <v>5000</v>
      </c>
      <c r="H41" s="684"/>
      <c r="I41" s="685"/>
      <c r="J41" s="668"/>
      <c r="K41" s="679" t="s">
        <v>759</v>
      </c>
      <c r="L41" s="680">
        <f>L39*L40</f>
        <v>14000</v>
      </c>
      <c r="M41" s="684"/>
      <c r="N41" s="685"/>
      <c r="O41" s="668"/>
      <c r="P41" s="679" t="s">
        <v>759</v>
      </c>
      <c r="Q41" s="680">
        <f>Q39*Q40</f>
        <v>7000</v>
      </c>
      <c r="R41" s="684"/>
      <c r="S41" s="685"/>
      <c r="T41" s="551"/>
      <c r="U41" s="679" t="s">
        <v>759</v>
      </c>
      <c r="V41" s="680">
        <f>V39*V40</f>
        <v>18900</v>
      </c>
      <c r="W41" s="684"/>
      <c r="X41" s="685"/>
      <c r="Z41" s="679" t="s">
        <v>759</v>
      </c>
      <c r="AA41" s="680">
        <f>AA39*AA40</f>
        <v>9460</v>
      </c>
      <c r="AB41" s="684"/>
      <c r="AC41" s="685"/>
      <c r="AE41" s="679" t="s">
        <v>759</v>
      </c>
      <c r="AF41" s="680">
        <f>AF39*AF40</f>
        <v>24560</v>
      </c>
      <c r="AG41" s="684"/>
      <c r="AH41" s="685"/>
      <c r="AJ41" s="679" t="s">
        <v>759</v>
      </c>
      <c r="AK41" s="680">
        <f>AK39*AK40</f>
        <v>12300</v>
      </c>
      <c r="AL41" s="684"/>
      <c r="AM41" s="685"/>
      <c r="AO41" s="679" t="s">
        <v>759</v>
      </c>
      <c r="AP41" s="680">
        <f>AP39*AP40</f>
        <v>0</v>
      </c>
      <c r="AQ41" s="684"/>
      <c r="AR41" s="685"/>
    </row>
    <row r="42" spans="1:44" ht="16" thickBot="1">
      <c r="A42" s="679" t="s">
        <v>192</v>
      </c>
      <c r="B42" s="681">
        <f>'PPA MLP Inputs'!K25</f>
        <v>6</v>
      </c>
      <c r="C42" s="684"/>
      <c r="D42" s="686"/>
      <c r="E42" s="668"/>
      <c r="F42" s="679" t="s">
        <v>192</v>
      </c>
      <c r="G42" s="681">
        <f>'PPA MLP Inputs'!K38</f>
        <v>3</v>
      </c>
      <c r="H42" s="684"/>
      <c r="I42" s="686"/>
      <c r="J42" s="668"/>
      <c r="K42" s="679" t="s">
        <v>192</v>
      </c>
      <c r="L42" s="681">
        <f>'PPA MLP Inputs'!K51</f>
        <v>6</v>
      </c>
      <c r="M42" s="684"/>
      <c r="N42" s="686"/>
      <c r="O42" s="668"/>
      <c r="P42" s="679" t="s">
        <v>192</v>
      </c>
      <c r="Q42" s="681">
        <f>'PPA MLP Inputs'!K64</f>
        <v>3</v>
      </c>
      <c r="R42" s="684"/>
      <c r="S42" s="686"/>
      <c r="U42" s="679" t="s">
        <v>192</v>
      </c>
      <c r="V42" s="681">
        <f>'PPA MLP Inputs'!K77</f>
        <v>6</v>
      </c>
      <c r="W42" s="684"/>
      <c r="X42" s="686"/>
      <c r="Z42" s="679" t="s">
        <v>192</v>
      </c>
      <c r="AA42" s="681">
        <f>'PPA MLP Inputs'!K90</f>
        <v>3</v>
      </c>
      <c r="AB42" s="684"/>
      <c r="AC42" s="686"/>
      <c r="AE42" s="679" t="s">
        <v>192</v>
      </c>
      <c r="AF42" s="681">
        <f>'PPA MLP Inputs'!K103</f>
        <v>6</v>
      </c>
      <c r="AG42" s="684"/>
      <c r="AH42" s="686"/>
      <c r="AJ42" s="679" t="s">
        <v>192</v>
      </c>
      <c r="AK42" s="681">
        <f>'PPA MLP Inputs'!K116</f>
        <v>3</v>
      </c>
      <c r="AL42" s="684"/>
      <c r="AM42" s="686"/>
      <c r="AO42" s="679" t="s">
        <v>192</v>
      </c>
      <c r="AP42" s="681">
        <f>'PPA MLP Inputs'!K129</f>
        <v>0</v>
      </c>
      <c r="AQ42" s="684"/>
      <c r="AR42" s="686"/>
    </row>
    <row r="43" spans="1:44" ht="16" thickBot="1">
      <c r="A43" s="687" t="s">
        <v>195</v>
      </c>
      <c r="B43" s="681">
        <f>'PPA MLP Inputs'!M25</f>
        <v>6</v>
      </c>
      <c r="C43" s="681"/>
      <c r="D43" s="681"/>
      <c r="E43" s="668"/>
      <c r="F43" s="687" t="s">
        <v>195</v>
      </c>
      <c r="G43" s="681">
        <f>'PPA MLP Inputs'!M38</f>
        <v>4</v>
      </c>
      <c r="H43" s="681"/>
      <c r="I43" s="681"/>
      <c r="J43" s="668"/>
      <c r="K43" s="687" t="s">
        <v>195</v>
      </c>
      <c r="L43" s="681">
        <f>'PPA MLP Inputs'!M51</f>
        <v>6</v>
      </c>
      <c r="M43" s="681"/>
      <c r="N43" s="681"/>
      <c r="O43" s="668"/>
      <c r="P43" s="687" t="s">
        <v>195</v>
      </c>
      <c r="Q43" s="681">
        <f>'PPA MLP Inputs'!M64</f>
        <v>4</v>
      </c>
      <c r="R43" s="681"/>
      <c r="S43" s="681"/>
      <c r="U43" s="687" t="s">
        <v>195</v>
      </c>
      <c r="V43" s="681">
        <f>'PPA MLP Inputs'!M77</f>
        <v>6</v>
      </c>
      <c r="W43" s="681"/>
      <c r="X43" s="681"/>
      <c r="Z43" s="687" t="s">
        <v>195</v>
      </c>
      <c r="AA43" s="681">
        <f>'PPA MLP Inputs'!M90</f>
        <v>4</v>
      </c>
      <c r="AB43" s="681"/>
      <c r="AC43" s="681"/>
      <c r="AE43" s="687" t="s">
        <v>195</v>
      </c>
      <c r="AF43" s="681">
        <f>'PPA MLP Inputs'!M103</f>
        <v>6</v>
      </c>
      <c r="AG43" s="681"/>
      <c r="AH43" s="681"/>
      <c r="AJ43" s="687" t="s">
        <v>195</v>
      </c>
      <c r="AK43" s="681">
        <f>'PPA MLP Inputs'!M116</f>
        <v>4</v>
      </c>
      <c r="AL43" s="681"/>
      <c r="AM43" s="681"/>
      <c r="AO43" s="687" t="s">
        <v>195</v>
      </c>
      <c r="AP43" s="681">
        <f>'PPA MLP Inputs'!M129</f>
        <v>0</v>
      </c>
      <c r="AQ43" s="681"/>
      <c r="AR43" s="681"/>
    </row>
    <row r="44" spans="1:44" ht="16" thickBot="1">
      <c r="A44" s="679" t="s">
        <v>761</v>
      </c>
      <c r="B44" s="680">
        <f>B41*B42</f>
        <v>60000</v>
      </c>
      <c r="C44" s="681"/>
      <c r="D44" s="681"/>
      <c r="E44" s="668"/>
      <c r="F44" s="679" t="s">
        <v>761</v>
      </c>
      <c r="G44" s="680">
        <f>G41*G42</f>
        <v>15000</v>
      </c>
      <c r="H44" s="681"/>
      <c r="I44" s="681"/>
      <c r="J44" s="668"/>
      <c r="K44" s="679" t="s">
        <v>761</v>
      </c>
      <c r="L44" s="680">
        <f>L41*L42</f>
        <v>84000</v>
      </c>
      <c r="M44" s="681"/>
      <c r="N44" s="681"/>
      <c r="O44" s="668"/>
      <c r="P44" s="679" t="s">
        <v>761</v>
      </c>
      <c r="Q44" s="680">
        <f>Q41*Q42</f>
        <v>21000</v>
      </c>
      <c r="R44" s="681"/>
      <c r="S44" s="681"/>
      <c r="U44" s="679" t="s">
        <v>761</v>
      </c>
      <c r="V44" s="680">
        <f>V41*V42</f>
        <v>113400</v>
      </c>
      <c r="W44" s="681"/>
      <c r="X44" s="681"/>
      <c r="Z44" s="679" t="s">
        <v>761</v>
      </c>
      <c r="AA44" s="680">
        <f>AA41*AA42</f>
        <v>28380</v>
      </c>
      <c r="AB44" s="681"/>
      <c r="AC44" s="681"/>
      <c r="AE44" s="679" t="s">
        <v>761</v>
      </c>
      <c r="AF44" s="680">
        <f>AF41*AF42</f>
        <v>147360</v>
      </c>
      <c r="AG44" s="681"/>
      <c r="AH44" s="681"/>
      <c r="AJ44" s="679" t="s">
        <v>761</v>
      </c>
      <c r="AK44" s="680">
        <f>AK41*AK42</f>
        <v>36900</v>
      </c>
      <c r="AL44" s="681"/>
      <c r="AM44" s="681"/>
      <c r="AO44" s="679" t="s">
        <v>761</v>
      </c>
      <c r="AP44" s="680">
        <f>AP41*AP42</f>
        <v>0</v>
      </c>
      <c r="AQ44" s="681"/>
      <c r="AR44" s="681"/>
    </row>
    <row r="45" spans="1:44" ht="16" thickBot="1">
      <c r="A45" s="679" t="s">
        <v>762</v>
      </c>
      <c r="B45" s="680">
        <f>B44*B43</f>
        <v>360000</v>
      </c>
      <c r="C45" s="681"/>
      <c r="D45" s="681"/>
      <c r="E45" s="668"/>
      <c r="F45" s="679" t="s">
        <v>762</v>
      </c>
      <c r="G45" s="680">
        <f>G44*G43</f>
        <v>60000</v>
      </c>
      <c r="H45" s="681"/>
      <c r="I45" s="681"/>
      <c r="J45" s="668"/>
      <c r="K45" s="679" t="s">
        <v>762</v>
      </c>
      <c r="L45" s="680">
        <f>L44*L43</f>
        <v>504000</v>
      </c>
      <c r="M45" s="681"/>
      <c r="N45" s="681"/>
      <c r="O45" s="668"/>
      <c r="P45" s="679" t="s">
        <v>762</v>
      </c>
      <c r="Q45" s="680">
        <f>Q44*Q43</f>
        <v>84000</v>
      </c>
      <c r="R45" s="681"/>
      <c r="S45" s="681"/>
      <c r="U45" s="679" t="s">
        <v>762</v>
      </c>
      <c r="V45" s="680">
        <f>V44*V43</f>
        <v>680400</v>
      </c>
      <c r="W45" s="681"/>
      <c r="X45" s="681"/>
      <c r="Z45" s="679" t="s">
        <v>762</v>
      </c>
      <c r="AA45" s="680">
        <f>AA44*AA43</f>
        <v>113520</v>
      </c>
      <c r="AB45" s="681"/>
      <c r="AC45" s="681"/>
      <c r="AE45" s="679" t="s">
        <v>762</v>
      </c>
      <c r="AF45" s="680">
        <f>AF44*AF43</f>
        <v>884160</v>
      </c>
      <c r="AG45" s="681"/>
      <c r="AH45" s="681"/>
      <c r="AJ45" s="679" t="s">
        <v>762</v>
      </c>
      <c r="AK45" s="680">
        <f>AK44*AK43</f>
        <v>147600</v>
      </c>
      <c r="AL45" s="681"/>
      <c r="AM45" s="681"/>
      <c r="AO45" s="679" t="s">
        <v>762</v>
      </c>
      <c r="AP45" s="680">
        <f>AP44*AP43</f>
        <v>0</v>
      </c>
      <c r="AQ45" s="681"/>
      <c r="AR45" s="681"/>
    </row>
    <row r="46" spans="1:44" ht="16" thickBot="1">
      <c r="A46" s="679" t="s">
        <v>763</v>
      </c>
      <c r="B46" s="688">
        <f>C50/B45</f>
        <v>0.41652777777777777</v>
      </c>
      <c r="C46" s="681"/>
      <c r="D46" s="689"/>
      <c r="E46" s="668"/>
      <c r="F46" s="679" t="s">
        <v>763</v>
      </c>
      <c r="G46" s="688">
        <f>H50/G45</f>
        <v>1.04125</v>
      </c>
      <c r="H46" s="681"/>
      <c r="I46" s="689"/>
      <c r="J46" s="668"/>
      <c r="K46" s="679" t="s">
        <v>763</v>
      </c>
      <c r="L46" s="688">
        <f>M50/L45</f>
        <v>0.41652777777777777</v>
      </c>
      <c r="M46" s="681"/>
      <c r="N46" s="689"/>
      <c r="O46" s="668"/>
      <c r="P46" s="679" t="s">
        <v>763</v>
      </c>
      <c r="Q46" s="688">
        <f>R50/Q45</f>
        <v>1.04125</v>
      </c>
      <c r="R46" s="681"/>
      <c r="S46" s="689"/>
      <c r="U46" s="679" t="s">
        <v>763</v>
      </c>
      <c r="V46" s="688">
        <f>W50/V45</f>
        <v>0.41652777777777777</v>
      </c>
      <c r="W46" s="681"/>
      <c r="X46" s="689"/>
      <c r="Z46" s="679" t="s">
        <v>763</v>
      </c>
      <c r="AA46" s="688">
        <f>AB50/AA45</f>
        <v>1.04125</v>
      </c>
      <c r="AB46" s="681"/>
      <c r="AC46" s="689"/>
      <c r="AE46" s="679" t="s">
        <v>763</v>
      </c>
      <c r="AF46" s="688">
        <f>AG50/AF45</f>
        <v>0.41652777777777777</v>
      </c>
      <c r="AG46" s="681"/>
      <c r="AH46" s="689"/>
      <c r="AJ46" s="679" t="s">
        <v>763</v>
      </c>
      <c r="AK46" s="688">
        <f>AL50/AK45</f>
        <v>1.04125</v>
      </c>
      <c r="AL46" s="681"/>
      <c r="AM46" s="689"/>
      <c r="AO46" s="679" t="s">
        <v>763</v>
      </c>
      <c r="AP46" s="688" t="e">
        <f>AQ50/AP45</f>
        <v>#DIV/0!</v>
      </c>
      <c r="AQ46" s="681"/>
      <c r="AR46" s="689"/>
    </row>
    <row r="47" spans="1:44" ht="16" thickBot="1">
      <c r="A47" s="690"/>
      <c r="B47" s="691" t="s">
        <v>250</v>
      </c>
      <c r="C47" s="691" t="s">
        <v>764</v>
      </c>
      <c r="D47" s="691" t="s">
        <v>18</v>
      </c>
      <c r="E47" s="668"/>
      <c r="F47" s="690"/>
      <c r="G47" s="691" t="s">
        <v>250</v>
      </c>
      <c r="H47" s="691" t="s">
        <v>764</v>
      </c>
      <c r="I47" s="691" t="s">
        <v>18</v>
      </c>
      <c r="J47" s="668"/>
      <c r="K47" s="690"/>
      <c r="L47" s="691" t="s">
        <v>250</v>
      </c>
      <c r="M47" s="691" t="s">
        <v>764</v>
      </c>
      <c r="N47" s="691" t="s">
        <v>18</v>
      </c>
      <c r="O47" s="668"/>
      <c r="P47" s="690"/>
      <c r="Q47" s="691" t="s">
        <v>250</v>
      </c>
      <c r="R47" s="691" t="s">
        <v>764</v>
      </c>
      <c r="S47" s="691" t="s">
        <v>18</v>
      </c>
      <c r="U47" s="690"/>
      <c r="V47" s="691" t="s">
        <v>250</v>
      </c>
      <c r="W47" s="691" t="s">
        <v>764</v>
      </c>
      <c r="X47" s="691" t="s">
        <v>18</v>
      </c>
      <c r="Z47" s="690"/>
      <c r="AA47" s="691" t="s">
        <v>250</v>
      </c>
      <c r="AB47" s="691" t="s">
        <v>764</v>
      </c>
      <c r="AC47" s="691" t="s">
        <v>18</v>
      </c>
      <c r="AE47" s="690"/>
      <c r="AF47" s="691" t="s">
        <v>250</v>
      </c>
      <c r="AG47" s="691" t="s">
        <v>764</v>
      </c>
      <c r="AH47" s="691" t="s">
        <v>18</v>
      </c>
      <c r="AJ47" s="690"/>
      <c r="AK47" s="691" t="s">
        <v>250</v>
      </c>
      <c r="AL47" s="691" t="s">
        <v>764</v>
      </c>
      <c r="AM47" s="691" t="s">
        <v>18</v>
      </c>
      <c r="AO47" s="690"/>
      <c r="AP47" s="691" t="s">
        <v>250</v>
      </c>
      <c r="AQ47" s="691" t="s">
        <v>764</v>
      </c>
      <c r="AR47" s="691" t="s">
        <v>18</v>
      </c>
    </row>
    <row r="48" spans="1:44" ht="16" thickBot="1">
      <c r="A48" s="692" t="s">
        <v>765</v>
      </c>
      <c r="B48" s="693">
        <f>ROUND(C48*$B$89,2)</f>
        <v>7.5</v>
      </c>
      <c r="C48" s="694">
        <f>ROUND(D48*'Ted Inputs'!$G$11,2)</f>
        <v>15</v>
      </c>
      <c r="D48" s="694">
        <f>C37</f>
        <v>29.99</v>
      </c>
      <c r="E48" s="668"/>
      <c r="F48" s="692" t="s">
        <v>765</v>
      </c>
      <c r="G48" s="693">
        <f>ROUND(H48*$B$89,2)</f>
        <v>6.25</v>
      </c>
      <c r="H48" s="694">
        <f>ROUND(I48*'Ted Inputs'!$G$11,2)</f>
        <v>12.5</v>
      </c>
      <c r="I48" s="694">
        <f>H37</f>
        <v>24.99</v>
      </c>
      <c r="J48" s="668"/>
      <c r="K48" s="692" t="s">
        <v>765</v>
      </c>
      <c r="L48" s="693">
        <f>ROUND(M48*$B$89,2)</f>
        <v>7.5</v>
      </c>
      <c r="M48" s="694">
        <f>ROUND(N48*'Ted Inputs'!$G$11,2)</f>
        <v>15</v>
      </c>
      <c r="N48" s="694">
        <f>M37</f>
        <v>29.99</v>
      </c>
      <c r="O48" s="668"/>
      <c r="P48" s="692" t="s">
        <v>765</v>
      </c>
      <c r="Q48" s="693">
        <f>ROUND(R48*$B$89,2)</f>
        <v>6.25</v>
      </c>
      <c r="R48" s="694">
        <f>ROUND(S48*'Ted Inputs'!$G$11,2)</f>
        <v>12.5</v>
      </c>
      <c r="S48" s="694">
        <f>R37</f>
        <v>24.99</v>
      </c>
      <c r="U48" s="692" t="s">
        <v>765</v>
      </c>
      <c r="V48" s="693">
        <f>ROUND(W48*$B$89,2)</f>
        <v>7.5</v>
      </c>
      <c r="W48" s="694">
        <f>ROUND(X48*'Ted Inputs'!$G$11,2)</f>
        <v>15</v>
      </c>
      <c r="X48" s="694">
        <f>W37</f>
        <v>29.99</v>
      </c>
      <c r="Z48" s="692" t="s">
        <v>765</v>
      </c>
      <c r="AA48" s="693">
        <f>ROUND(AB48*$B$89,2)</f>
        <v>6.25</v>
      </c>
      <c r="AB48" s="694">
        <f>ROUND(AC48*'Ted Inputs'!$G$11,2)</f>
        <v>12.5</v>
      </c>
      <c r="AC48" s="694">
        <f>AB37</f>
        <v>24.99</v>
      </c>
      <c r="AE48" s="692" t="s">
        <v>765</v>
      </c>
      <c r="AF48" s="693">
        <f>ROUND(AG48*$B$89,2)</f>
        <v>7.5</v>
      </c>
      <c r="AG48" s="694">
        <f>ROUND(AH48*'Ted Inputs'!$G$11,2)</f>
        <v>15</v>
      </c>
      <c r="AH48" s="694">
        <f>AG37</f>
        <v>29.99</v>
      </c>
      <c r="AJ48" s="692" t="s">
        <v>765</v>
      </c>
      <c r="AK48" s="693">
        <f>ROUND(AL48*$B$89,2)</f>
        <v>6.25</v>
      </c>
      <c r="AL48" s="694">
        <f>ROUND(AM48*'Ted Inputs'!$G$11,2)</f>
        <v>12.5</v>
      </c>
      <c r="AM48" s="694">
        <f>AL37</f>
        <v>24.99</v>
      </c>
      <c r="AO48" s="692" t="s">
        <v>765</v>
      </c>
      <c r="AP48" s="693">
        <f>ROUND(AQ48*$B$89,2)</f>
        <v>0</v>
      </c>
      <c r="AQ48" s="694">
        <f>ROUND(AR48*'Ted Inputs'!$G$11,2)</f>
        <v>0</v>
      </c>
      <c r="AR48" s="694">
        <f>AQ37</f>
        <v>0</v>
      </c>
    </row>
    <row r="49" spans="1:44" ht="16" thickBot="1">
      <c r="A49" s="692" t="s">
        <v>766</v>
      </c>
      <c r="B49" s="693">
        <f>ROUND(C49*$B$89,2)</f>
        <v>149.94999999999999</v>
      </c>
      <c r="C49" s="695">
        <f>ROUND(D49*'Ted Inputs'!$G$11,2)</f>
        <v>299.89999999999998</v>
      </c>
      <c r="D49" s="695">
        <f>ROUND(D48*B40,2)</f>
        <v>599.79999999999995</v>
      </c>
      <c r="E49" s="668"/>
      <c r="F49" s="692" t="s">
        <v>766</v>
      </c>
      <c r="G49" s="693">
        <f>ROUND(H49*$B$89,2)</f>
        <v>124.95</v>
      </c>
      <c r="H49" s="695">
        <f>ROUND(I49*'Ted Inputs'!$G$11,2)</f>
        <v>249.9</v>
      </c>
      <c r="I49" s="695">
        <f>ROUND(I48*G40,2)</f>
        <v>499.8</v>
      </c>
      <c r="J49" s="668"/>
      <c r="K49" s="692" t="s">
        <v>766</v>
      </c>
      <c r="L49" s="693">
        <f>ROUND(M49*$B$89,2)</f>
        <v>149.94999999999999</v>
      </c>
      <c r="M49" s="695">
        <f>ROUND(N49*'Ted Inputs'!$G$11,2)</f>
        <v>299.89999999999998</v>
      </c>
      <c r="N49" s="695">
        <f>ROUND(N48*L40,2)</f>
        <v>599.79999999999995</v>
      </c>
      <c r="O49" s="668"/>
      <c r="P49" s="692" t="s">
        <v>766</v>
      </c>
      <c r="Q49" s="693">
        <f>ROUND(R49*$B$89,2)</f>
        <v>124.95</v>
      </c>
      <c r="R49" s="695">
        <f>ROUND(S49*'Ted Inputs'!$G$11,2)</f>
        <v>249.9</v>
      </c>
      <c r="S49" s="695">
        <f>ROUND(S48*Q40,2)</f>
        <v>499.8</v>
      </c>
      <c r="U49" s="692" t="s">
        <v>766</v>
      </c>
      <c r="V49" s="693">
        <f>ROUND(W49*$B$89,2)</f>
        <v>149.94999999999999</v>
      </c>
      <c r="W49" s="695">
        <f>ROUND(X49*'Ted Inputs'!$G$11,2)</f>
        <v>299.89999999999998</v>
      </c>
      <c r="X49" s="695">
        <f>ROUND(X48*V40,2)</f>
        <v>599.79999999999995</v>
      </c>
      <c r="Z49" s="692" t="s">
        <v>766</v>
      </c>
      <c r="AA49" s="693">
        <f>ROUND(AB49*$B$89,2)</f>
        <v>124.95</v>
      </c>
      <c r="AB49" s="695">
        <f>ROUND(AC49*'Ted Inputs'!$G$11,2)</f>
        <v>249.9</v>
      </c>
      <c r="AC49" s="695">
        <f>ROUND(AC48*AA40,2)</f>
        <v>499.8</v>
      </c>
      <c r="AE49" s="692" t="s">
        <v>766</v>
      </c>
      <c r="AF49" s="693">
        <f>ROUND(AG49*$B$89,2)</f>
        <v>149.94999999999999</v>
      </c>
      <c r="AG49" s="695">
        <f>ROUND(AH49*'Ted Inputs'!$G$11,2)</f>
        <v>299.89999999999998</v>
      </c>
      <c r="AH49" s="695">
        <f>ROUND(AH48*AF40,2)</f>
        <v>599.79999999999995</v>
      </c>
      <c r="AJ49" s="692" t="s">
        <v>766</v>
      </c>
      <c r="AK49" s="693">
        <f>ROUND(AL49*$B$89,2)</f>
        <v>124.95</v>
      </c>
      <c r="AL49" s="695">
        <f>ROUND(AM49*'Ted Inputs'!$G$11,2)</f>
        <v>249.9</v>
      </c>
      <c r="AM49" s="695">
        <f>ROUND(AM48*AK40,2)</f>
        <v>499.8</v>
      </c>
      <c r="AO49" s="692" t="s">
        <v>766</v>
      </c>
      <c r="AP49" s="693">
        <f>ROUND(AQ49*$B$89,2)</f>
        <v>0</v>
      </c>
      <c r="AQ49" s="695">
        <f>ROUND(AR49*'Ted Inputs'!$G$11,2)</f>
        <v>0</v>
      </c>
      <c r="AR49" s="695">
        <f>ROUND(AR48*AP40,2)</f>
        <v>0</v>
      </c>
    </row>
    <row r="50" spans="1:44" ht="16" thickBot="1">
      <c r="A50" s="692" t="s">
        <v>767</v>
      </c>
      <c r="B50" s="693">
        <f>ROUND(B49*$B39,2)</f>
        <v>74975</v>
      </c>
      <c r="C50" s="695">
        <f>ROUND(C49*B39,2)</f>
        <v>149950</v>
      </c>
      <c r="D50" s="695">
        <f>ROUND(D49*B39,2)</f>
        <v>299900</v>
      </c>
      <c r="E50" s="668"/>
      <c r="F50" s="692" t="s">
        <v>767</v>
      </c>
      <c r="G50" s="693">
        <f>ROUND(G49*$B39,2)</f>
        <v>62475</v>
      </c>
      <c r="H50" s="695">
        <f>ROUND(H49*G39,2)</f>
        <v>62475</v>
      </c>
      <c r="I50" s="695">
        <f>ROUND(I49*G39,2)</f>
        <v>124950</v>
      </c>
      <c r="J50" s="668"/>
      <c r="K50" s="692" t="s">
        <v>767</v>
      </c>
      <c r="L50" s="693">
        <f>ROUND(L49*$B39,2)</f>
        <v>74975</v>
      </c>
      <c r="M50" s="695">
        <f>ROUND(M49*L39,2)</f>
        <v>209930</v>
      </c>
      <c r="N50" s="695">
        <f>ROUND(N49*L39,2)</f>
        <v>419860</v>
      </c>
      <c r="O50" s="668"/>
      <c r="P50" s="692" t="s">
        <v>767</v>
      </c>
      <c r="Q50" s="693">
        <f>ROUND(Q49*$B39,2)</f>
        <v>62475</v>
      </c>
      <c r="R50" s="695">
        <f>ROUND(R49*Q39,2)</f>
        <v>87465</v>
      </c>
      <c r="S50" s="695">
        <f>ROUND(S49*Q39,2)</f>
        <v>174930</v>
      </c>
      <c r="U50" s="692" t="s">
        <v>767</v>
      </c>
      <c r="V50" s="693">
        <f>ROUND(V49*$B39,2)</f>
        <v>74975</v>
      </c>
      <c r="W50" s="695">
        <f>ROUND(W49*V39,2)</f>
        <v>283405.5</v>
      </c>
      <c r="X50" s="695">
        <f>ROUND(X49*V39,2)</f>
        <v>566811</v>
      </c>
      <c r="Z50" s="692" t="s">
        <v>767</v>
      </c>
      <c r="AA50" s="693">
        <f>ROUND(AA49*$B39,2)</f>
        <v>62475</v>
      </c>
      <c r="AB50" s="695">
        <f>ROUND(AB49*AA39,2)</f>
        <v>118202.7</v>
      </c>
      <c r="AC50" s="695">
        <f>ROUND(AC49*AA39,2)</f>
        <v>236405.4</v>
      </c>
      <c r="AE50" s="692" t="s">
        <v>767</v>
      </c>
      <c r="AF50" s="693">
        <f>ROUND(AF49*$B39,2)</f>
        <v>74975</v>
      </c>
      <c r="AG50" s="695">
        <f>ROUND(AG49*AF39,2)</f>
        <v>368277.2</v>
      </c>
      <c r="AH50" s="695">
        <f>ROUND(AH49*AF39,2)</f>
        <v>736554.4</v>
      </c>
      <c r="AJ50" s="692" t="s">
        <v>767</v>
      </c>
      <c r="AK50" s="693">
        <f>ROUND(AK49*$B39,2)</f>
        <v>62475</v>
      </c>
      <c r="AL50" s="695">
        <f>ROUND(AL49*AK39,2)</f>
        <v>153688.5</v>
      </c>
      <c r="AM50" s="695">
        <f>ROUND(AM49*AK39,2)</f>
        <v>307377</v>
      </c>
      <c r="AO50" s="692" t="s">
        <v>767</v>
      </c>
      <c r="AP50" s="693">
        <f>ROUND(AP49*$B39,2)</f>
        <v>0</v>
      </c>
      <c r="AQ50" s="695">
        <f>ROUND(AQ49*AP39,2)</f>
        <v>0</v>
      </c>
      <c r="AR50" s="695">
        <f>ROUND(AR49*AP39,2)</f>
        <v>0</v>
      </c>
    </row>
    <row r="51" spans="1:44" ht="16" thickBot="1">
      <c r="A51" s="668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8"/>
      <c r="P51" s="668"/>
      <c r="Q51" s="668"/>
      <c r="R51" s="668"/>
      <c r="S51" s="668"/>
      <c r="U51" s="668"/>
      <c r="V51" s="668"/>
      <c r="W51" s="668"/>
      <c r="X51" s="668"/>
      <c r="Z51" s="668"/>
      <c r="AA51" s="668"/>
      <c r="AB51" s="668"/>
      <c r="AC51" s="668"/>
      <c r="AE51" s="668"/>
      <c r="AF51" s="668"/>
      <c r="AG51" s="668"/>
      <c r="AH51" s="668"/>
      <c r="AJ51" s="668"/>
      <c r="AK51" s="668"/>
      <c r="AL51" s="668"/>
      <c r="AM51" s="668"/>
      <c r="AO51" s="668"/>
      <c r="AP51" s="668"/>
      <c r="AQ51" s="668"/>
      <c r="AR51" s="668"/>
    </row>
    <row r="52" spans="1:44" ht="16" thickBot="1">
      <c r="A52" s="668"/>
      <c r="B52" s="668"/>
      <c r="C52" s="674" t="s">
        <v>754</v>
      </c>
      <c r="D52" s="675" t="s">
        <v>755</v>
      </c>
      <c r="E52" s="668"/>
      <c r="F52" s="668"/>
      <c r="G52" s="668"/>
      <c r="H52" s="674" t="s">
        <v>754</v>
      </c>
      <c r="I52" s="675" t="s">
        <v>755</v>
      </c>
      <c r="J52" s="668"/>
      <c r="K52" s="668"/>
      <c r="L52" s="668"/>
      <c r="M52" s="674" t="s">
        <v>754</v>
      </c>
      <c r="N52" s="675" t="s">
        <v>755</v>
      </c>
      <c r="O52" s="668"/>
      <c r="P52" s="668"/>
      <c r="Q52" s="668"/>
      <c r="R52" s="674" t="s">
        <v>754</v>
      </c>
      <c r="S52" s="675" t="s">
        <v>755</v>
      </c>
      <c r="U52" s="668"/>
      <c r="V52" s="668"/>
      <c r="W52" s="674" t="s">
        <v>754</v>
      </c>
      <c r="X52" s="675" t="s">
        <v>755</v>
      </c>
      <c r="Z52" s="668"/>
      <c r="AA52" s="668"/>
      <c r="AB52" s="674" t="s">
        <v>754</v>
      </c>
      <c r="AC52" s="675" t="s">
        <v>755</v>
      </c>
      <c r="AE52" s="668"/>
      <c r="AF52" s="668"/>
      <c r="AG52" s="674" t="s">
        <v>754</v>
      </c>
      <c r="AH52" s="675" t="s">
        <v>755</v>
      </c>
      <c r="AJ52" s="668"/>
      <c r="AK52" s="668"/>
      <c r="AL52" s="674" t="s">
        <v>754</v>
      </c>
      <c r="AM52" s="675" t="s">
        <v>755</v>
      </c>
      <c r="AO52" s="668"/>
      <c r="AP52" s="668"/>
      <c r="AQ52" s="674" t="s">
        <v>754</v>
      </c>
      <c r="AR52" s="675" t="s">
        <v>755</v>
      </c>
    </row>
    <row r="53" spans="1:44" s="677" customFormat="1" ht="16">
      <c r="A53" s="676" t="s">
        <v>770</v>
      </c>
      <c r="B53" s="1172" t="s">
        <v>18</v>
      </c>
      <c r="C53" s="1176">
        <f>'PPA MLP Inputs'!E26</f>
        <v>14.99</v>
      </c>
      <c r="D53" s="1178">
        <f>C53*B56</f>
        <v>719.52</v>
      </c>
      <c r="E53" s="1179"/>
      <c r="F53" s="676" t="s">
        <v>770</v>
      </c>
      <c r="G53" s="1172" t="s">
        <v>18</v>
      </c>
      <c r="H53" s="1176">
        <f>'PPA MLP Inputs'!E39</f>
        <v>0</v>
      </c>
      <c r="I53" s="1178">
        <f>H53*G56</f>
        <v>0</v>
      </c>
      <c r="J53" s="1179"/>
      <c r="K53" s="676" t="s">
        <v>770</v>
      </c>
      <c r="L53" s="1172" t="s">
        <v>18</v>
      </c>
      <c r="M53" s="1176">
        <f>'PPA MLP Inputs'!E52</f>
        <v>14.99</v>
      </c>
      <c r="N53" s="1178">
        <f>M53*L56</f>
        <v>719.52</v>
      </c>
      <c r="O53" s="1180"/>
      <c r="P53" s="676" t="s">
        <v>770</v>
      </c>
      <c r="Q53" s="1172" t="s">
        <v>18</v>
      </c>
      <c r="R53" s="1176">
        <f>'PPA MLP Inputs'!E65</f>
        <v>0</v>
      </c>
      <c r="S53" s="1178">
        <f>R53*Q56</f>
        <v>0</v>
      </c>
      <c r="U53" s="676" t="s">
        <v>770</v>
      </c>
      <c r="V53" s="1172" t="s">
        <v>18</v>
      </c>
      <c r="W53" s="1176">
        <f>'PPA MLP Inputs'!E78</f>
        <v>14.99</v>
      </c>
      <c r="X53" s="1178">
        <f>W53*V56</f>
        <v>719.52</v>
      </c>
      <c r="Z53" s="676" t="s">
        <v>770</v>
      </c>
      <c r="AA53" s="1172" t="s">
        <v>18</v>
      </c>
      <c r="AB53" s="1176">
        <f>'PPA MLP Inputs'!E91</f>
        <v>0</v>
      </c>
      <c r="AC53" s="1178">
        <f>AB53*AA56</f>
        <v>0</v>
      </c>
      <c r="AE53" s="676" t="s">
        <v>770</v>
      </c>
      <c r="AF53" s="1172" t="s">
        <v>18</v>
      </c>
      <c r="AG53" s="1176">
        <f>'PPA MLP Inputs'!E104</f>
        <v>14.99</v>
      </c>
      <c r="AH53" s="1178">
        <f>AG53*AF56</f>
        <v>719.52</v>
      </c>
      <c r="AJ53" s="676" t="s">
        <v>770</v>
      </c>
      <c r="AK53" s="1172" t="s">
        <v>18</v>
      </c>
      <c r="AL53" s="1176">
        <f>'PPA MLP Inputs'!E117</f>
        <v>0</v>
      </c>
      <c r="AM53" s="1178">
        <f>AL53*AK56</f>
        <v>0</v>
      </c>
      <c r="AO53" s="676" t="s">
        <v>770</v>
      </c>
      <c r="AP53" s="1172" t="s">
        <v>18</v>
      </c>
      <c r="AQ53" s="1176">
        <f>'PPA MLP Inputs'!E130</f>
        <v>0</v>
      </c>
      <c r="AR53" s="1178">
        <f>AQ53*AP56</f>
        <v>0</v>
      </c>
    </row>
    <row r="54" spans="1:44" s="677" customFormat="1" ht="16" thickBot="1">
      <c r="A54" s="678" t="s">
        <v>771</v>
      </c>
      <c r="B54" s="1173"/>
      <c r="C54" s="1177"/>
      <c r="D54" s="1175"/>
      <c r="E54" s="1179"/>
      <c r="F54" s="678" t="s">
        <v>771</v>
      </c>
      <c r="G54" s="1173"/>
      <c r="H54" s="1177"/>
      <c r="I54" s="1175"/>
      <c r="J54" s="1179"/>
      <c r="K54" s="678" t="s">
        <v>771</v>
      </c>
      <c r="L54" s="1173"/>
      <c r="M54" s="1177"/>
      <c r="N54" s="1175"/>
      <c r="O54" s="1180"/>
      <c r="P54" s="678" t="s">
        <v>771</v>
      </c>
      <c r="Q54" s="1173"/>
      <c r="R54" s="1177"/>
      <c r="S54" s="1175"/>
      <c r="U54" s="678" t="s">
        <v>771</v>
      </c>
      <c r="V54" s="1173"/>
      <c r="W54" s="1177"/>
      <c r="X54" s="1175"/>
      <c r="Z54" s="678" t="s">
        <v>771</v>
      </c>
      <c r="AA54" s="1173"/>
      <c r="AB54" s="1177"/>
      <c r="AC54" s="1175"/>
      <c r="AE54" s="678" t="s">
        <v>771</v>
      </c>
      <c r="AF54" s="1173"/>
      <c r="AG54" s="1177"/>
      <c r="AH54" s="1175"/>
      <c r="AJ54" s="678" t="s">
        <v>771</v>
      </c>
      <c r="AK54" s="1173"/>
      <c r="AL54" s="1177"/>
      <c r="AM54" s="1175"/>
      <c r="AO54" s="678" t="s">
        <v>771</v>
      </c>
      <c r="AP54" s="1173"/>
      <c r="AQ54" s="1177"/>
      <c r="AR54" s="1175"/>
    </row>
    <row r="55" spans="1:44" ht="16" thickBot="1">
      <c r="A55" s="679" t="s">
        <v>758</v>
      </c>
      <c r="B55" s="681">
        <f>'PPA MLP Inputs'!G26</f>
        <v>420</v>
      </c>
      <c r="C55" s="681"/>
      <c r="D55" s="681"/>
      <c r="E55" s="668"/>
      <c r="F55" s="679" t="s">
        <v>758</v>
      </c>
      <c r="G55" s="681">
        <f>'PPA MLP Inputs'!G39</f>
        <v>0</v>
      </c>
      <c r="H55" s="681"/>
      <c r="I55" s="681"/>
      <c r="J55" s="668"/>
      <c r="K55" s="679" t="s">
        <v>758</v>
      </c>
      <c r="L55" s="681">
        <f>'PPA MLP Inputs'!G52</f>
        <v>588</v>
      </c>
      <c r="M55" s="681"/>
      <c r="N55" s="681"/>
      <c r="O55" s="668"/>
      <c r="P55" s="679" t="s">
        <v>758</v>
      </c>
      <c r="Q55" s="681">
        <f>'PPA MLP Inputs'!G65</f>
        <v>0</v>
      </c>
      <c r="R55" s="681"/>
      <c r="S55" s="681"/>
      <c r="U55" s="679" t="s">
        <v>758</v>
      </c>
      <c r="V55" s="681">
        <f>'PPA MLP Inputs'!G78</f>
        <v>794</v>
      </c>
      <c r="W55" s="681"/>
      <c r="X55" s="681"/>
      <c r="Z55" s="679" t="s">
        <v>758</v>
      </c>
      <c r="AA55" s="681">
        <f>'PPA MLP Inputs'!G91</f>
        <v>0</v>
      </c>
      <c r="AB55" s="681"/>
      <c r="AC55" s="681"/>
      <c r="AE55" s="679" t="s">
        <v>758</v>
      </c>
      <c r="AF55" s="681">
        <f>'PPA MLP Inputs'!G104</f>
        <v>1032</v>
      </c>
      <c r="AG55" s="681"/>
      <c r="AH55" s="681"/>
      <c r="AJ55" s="679" t="s">
        <v>758</v>
      </c>
      <c r="AK55" s="681">
        <f>'PPA MLP Inputs'!G117</f>
        <v>0</v>
      </c>
      <c r="AL55" s="681"/>
      <c r="AM55" s="681"/>
      <c r="AO55" s="679" t="s">
        <v>758</v>
      </c>
      <c r="AP55" s="681">
        <f>'PPA MLP Inputs'!G130</f>
        <v>0</v>
      </c>
      <c r="AQ55" s="681"/>
      <c r="AR55" s="681"/>
    </row>
    <row r="56" spans="1:44" ht="17" thickBot="1">
      <c r="A56" s="682" t="s">
        <v>188</v>
      </c>
      <c r="B56" s="681">
        <f>'PPA MLP Inputs'!I26</f>
        <v>48</v>
      </c>
      <c r="C56" s="681"/>
      <c r="D56" s="683"/>
      <c r="E56" s="668"/>
      <c r="F56" s="682" t="s">
        <v>188</v>
      </c>
      <c r="G56" s="681">
        <f>'PPA MLP Inputs'!I39</f>
        <v>0</v>
      </c>
      <c r="H56" s="681"/>
      <c r="I56" s="683"/>
      <c r="J56" s="668"/>
      <c r="K56" s="682" t="s">
        <v>188</v>
      </c>
      <c r="L56" s="681">
        <f>'PPA MLP Inputs'!I52</f>
        <v>48</v>
      </c>
      <c r="M56" s="681"/>
      <c r="N56" s="683"/>
      <c r="O56" s="668"/>
      <c r="P56" s="682" t="s">
        <v>188</v>
      </c>
      <c r="Q56" s="681">
        <f>'PPA MLP Inputs'!I65</f>
        <v>0</v>
      </c>
      <c r="R56" s="681"/>
      <c r="S56" s="683"/>
      <c r="U56" s="682" t="s">
        <v>188</v>
      </c>
      <c r="V56" s="681">
        <f>'PPA MLP Inputs'!I78</f>
        <v>48</v>
      </c>
      <c r="W56" s="681"/>
      <c r="X56" s="683"/>
      <c r="Z56" s="682" t="s">
        <v>188</v>
      </c>
      <c r="AA56" s="681">
        <f>'PPA MLP Inputs'!I91</f>
        <v>0</v>
      </c>
      <c r="AB56" s="681"/>
      <c r="AC56" s="683"/>
      <c r="AE56" s="682" t="s">
        <v>188</v>
      </c>
      <c r="AF56" s="681">
        <f>'PPA MLP Inputs'!I104</f>
        <v>48</v>
      </c>
      <c r="AG56" s="681"/>
      <c r="AH56" s="683"/>
      <c r="AJ56" s="682" t="s">
        <v>188</v>
      </c>
      <c r="AK56" s="681">
        <f>'PPA MLP Inputs'!I117</f>
        <v>0</v>
      </c>
      <c r="AL56" s="681"/>
      <c r="AM56" s="683"/>
      <c r="AO56" s="682" t="s">
        <v>188</v>
      </c>
      <c r="AP56" s="681">
        <f>'PPA MLP Inputs'!I130</f>
        <v>0</v>
      </c>
      <c r="AQ56" s="681"/>
      <c r="AR56" s="683"/>
    </row>
    <row r="57" spans="1:44" ht="16" thickBot="1">
      <c r="A57" s="679" t="s">
        <v>759</v>
      </c>
      <c r="B57" s="680">
        <f>B55*B56</f>
        <v>20160</v>
      </c>
      <c r="C57" s="684"/>
      <c r="D57" s="685"/>
      <c r="E57" s="668"/>
      <c r="F57" s="679" t="s">
        <v>759</v>
      </c>
      <c r="G57" s="680">
        <f>G55*G56</f>
        <v>0</v>
      </c>
      <c r="H57" s="684"/>
      <c r="I57" s="685"/>
      <c r="J57" s="668"/>
      <c r="K57" s="679" t="s">
        <v>759</v>
      </c>
      <c r="L57" s="680">
        <f>L55*L56</f>
        <v>28224</v>
      </c>
      <c r="M57" s="684"/>
      <c r="N57" s="685"/>
      <c r="O57" s="668"/>
      <c r="P57" s="679" t="s">
        <v>759</v>
      </c>
      <c r="Q57" s="680">
        <f>Q55*Q56</f>
        <v>0</v>
      </c>
      <c r="R57" s="684"/>
      <c r="S57" s="685"/>
      <c r="U57" s="679" t="s">
        <v>759</v>
      </c>
      <c r="V57" s="680">
        <f>V55*V56</f>
        <v>38112</v>
      </c>
      <c r="W57" s="684"/>
      <c r="X57" s="685"/>
      <c r="Z57" s="679" t="s">
        <v>759</v>
      </c>
      <c r="AA57" s="680">
        <f>AA55*AA56</f>
        <v>0</v>
      </c>
      <c r="AB57" s="684"/>
      <c r="AC57" s="685"/>
      <c r="AE57" s="679" t="s">
        <v>759</v>
      </c>
      <c r="AF57" s="680">
        <f>AF55*AF56</f>
        <v>49536</v>
      </c>
      <c r="AG57" s="684"/>
      <c r="AH57" s="685"/>
      <c r="AJ57" s="679" t="s">
        <v>759</v>
      </c>
      <c r="AK57" s="680">
        <f>AK55*AK56</f>
        <v>0</v>
      </c>
      <c r="AL57" s="684"/>
      <c r="AM57" s="685"/>
      <c r="AO57" s="679" t="s">
        <v>759</v>
      </c>
      <c r="AP57" s="680">
        <f>AP55*AP56</f>
        <v>0</v>
      </c>
      <c r="AQ57" s="684"/>
      <c r="AR57" s="685"/>
    </row>
    <row r="58" spans="1:44" ht="16" thickBot="1">
      <c r="A58" s="679" t="s">
        <v>192</v>
      </c>
      <c r="B58" s="681">
        <f>'PPA MLP Inputs'!K26</f>
        <v>1</v>
      </c>
      <c r="C58" s="684"/>
      <c r="D58" s="686"/>
      <c r="E58" s="668"/>
      <c r="F58" s="679" t="s">
        <v>192</v>
      </c>
      <c r="G58" s="681">
        <f>'PPA MLP Inputs'!K39</f>
        <v>0</v>
      </c>
      <c r="H58" s="684"/>
      <c r="I58" s="686"/>
      <c r="J58" s="668"/>
      <c r="K58" s="679" t="s">
        <v>192</v>
      </c>
      <c r="L58" s="681">
        <f>'PPA MLP Inputs'!K52</f>
        <v>1</v>
      </c>
      <c r="M58" s="684"/>
      <c r="N58" s="686"/>
      <c r="O58" s="668"/>
      <c r="P58" s="679" t="s">
        <v>192</v>
      </c>
      <c r="Q58" s="681">
        <f>'PPA MLP Inputs'!K65</f>
        <v>0</v>
      </c>
      <c r="R58" s="684"/>
      <c r="S58" s="686"/>
      <c r="U58" s="679" t="s">
        <v>192</v>
      </c>
      <c r="V58" s="681">
        <f>'PPA MLP Inputs'!K78</f>
        <v>1</v>
      </c>
      <c r="W58" s="684"/>
      <c r="X58" s="686"/>
      <c r="Z58" s="679" t="s">
        <v>192</v>
      </c>
      <c r="AA58" s="681">
        <f>'PPA MLP Inputs'!K91</f>
        <v>0</v>
      </c>
      <c r="AB58" s="684"/>
      <c r="AC58" s="686"/>
      <c r="AE58" s="679" t="s">
        <v>192</v>
      </c>
      <c r="AF58" s="681">
        <f>'PPA MLP Inputs'!K104</f>
        <v>1</v>
      </c>
      <c r="AG58" s="684"/>
      <c r="AH58" s="686"/>
      <c r="AJ58" s="679" t="s">
        <v>192</v>
      </c>
      <c r="AK58" s="681">
        <f>'PPA MLP Inputs'!K117</f>
        <v>0</v>
      </c>
      <c r="AL58" s="684"/>
      <c r="AM58" s="686"/>
      <c r="AO58" s="679" t="s">
        <v>192</v>
      </c>
      <c r="AP58" s="681">
        <f>'PPA MLP Inputs'!K130</f>
        <v>0</v>
      </c>
      <c r="AQ58" s="684"/>
      <c r="AR58" s="686"/>
    </row>
    <row r="59" spans="1:44" ht="16" thickBot="1">
      <c r="A59" s="687" t="s">
        <v>195</v>
      </c>
      <c r="B59" s="681">
        <f>'PPA MLP Inputs'!M26</f>
        <v>30</v>
      </c>
      <c r="C59" s="681"/>
      <c r="D59" s="681"/>
      <c r="E59" s="668"/>
      <c r="F59" s="687" t="s">
        <v>195</v>
      </c>
      <c r="G59" s="681">
        <f>'PPA MLP Inputs'!M39</f>
        <v>0</v>
      </c>
      <c r="H59" s="681"/>
      <c r="I59" s="681"/>
      <c r="J59" s="668"/>
      <c r="K59" s="687" t="s">
        <v>195</v>
      </c>
      <c r="L59" s="681">
        <f>'PPA MLP Inputs'!M52</f>
        <v>30</v>
      </c>
      <c r="M59" s="681"/>
      <c r="N59" s="681"/>
      <c r="O59" s="668"/>
      <c r="P59" s="687" t="s">
        <v>195</v>
      </c>
      <c r="Q59" s="681">
        <f>'PPA MLP Inputs'!M65</f>
        <v>0</v>
      </c>
      <c r="R59" s="681"/>
      <c r="S59" s="681"/>
      <c r="U59" s="687" t="s">
        <v>195</v>
      </c>
      <c r="V59" s="681">
        <f>'PPA MLP Inputs'!M78</f>
        <v>30</v>
      </c>
      <c r="W59" s="681"/>
      <c r="X59" s="681"/>
      <c r="Z59" s="687" t="s">
        <v>195</v>
      </c>
      <c r="AA59" s="681">
        <f>'PPA MLP Inputs'!M91</f>
        <v>0</v>
      </c>
      <c r="AB59" s="681"/>
      <c r="AC59" s="681"/>
      <c r="AE59" s="687" t="s">
        <v>195</v>
      </c>
      <c r="AF59" s="681">
        <f>'PPA MLP Inputs'!M104</f>
        <v>30</v>
      </c>
      <c r="AG59" s="681"/>
      <c r="AH59" s="681"/>
      <c r="AJ59" s="687" t="s">
        <v>195</v>
      </c>
      <c r="AK59" s="681">
        <f>'PPA MLP Inputs'!M117</f>
        <v>0</v>
      </c>
      <c r="AL59" s="681"/>
      <c r="AM59" s="681"/>
      <c r="AO59" s="687" t="s">
        <v>195</v>
      </c>
      <c r="AP59" s="681">
        <f>'PPA MLP Inputs'!M130</f>
        <v>0</v>
      </c>
      <c r="AQ59" s="681"/>
      <c r="AR59" s="681"/>
    </row>
    <row r="60" spans="1:44" ht="16" thickBot="1">
      <c r="A60" s="679" t="s">
        <v>761</v>
      </c>
      <c r="B60" s="680">
        <f>B57*B58</f>
        <v>20160</v>
      </c>
      <c r="C60" s="681"/>
      <c r="D60" s="681"/>
      <c r="E60" s="668"/>
      <c r="F60" s="679" t="s">
        <v>761</v>
      </c>
      <c r="G60" s="680">
        <f>G57*G58</f>
        <v>0</v>
      </c>
      <c r="H60" s="681"/>
      <c r="I60" s="681"/>
      <c r="J60" s="668"/>
      <c r="K60" s="679" t="s">
        <v>761</v>
      </c>
      <c r="L60" s="680">
        <f>L57*L58</f>
        <v>28224</v>
      </c>
      <c r="M60" s="681"/>
      <c r="N60" s="681"/>
      <c r="O60" s="668"/>
      <c r="P60" s="679" t="s">
        <v>761</v>
      </c>
      <c r="Q60" s="680">
        <f>Q57*Q58</f>
        <v>0</v>
      </c>
      <c r="R60" s="681"/>
      <c r="S60" s="681"/>
      <c r="U60" s="679" t="s">
        <v>761</v>
      </c>
      <c r="V60" s="680">
        <f>V57*V58</f>
        <v>38112</v>
      </c>
      <c r="W60" s="681"/>
      <c r="X60" s="681"/>
      <c r="Z60" s="679" t="s">
        <v>761</v>
      </c>
      <c r="AA60" s="680">
        <f>AA57*AA58</f>
        <v>0</v>
      </c>
      <c r="AB60" s="681"/>
      <c r="AC60" s="681"/>
      <c r="AE60" s="679" t="s">
        <v>761</v>
      </c>
      <c r="AF60" s="680">
        <f>AF57*AF58</f>
        <v>49536</v>
      </c>
      <c r="AG60" s="681"/>
      <c r="AH60" s="681"/>
      <c r="AJ60" s="679" t="s">
        <v>761</v>
      </c>
      <c r="AK60" s="680">
        <f>AK57*AK58</f>
        <v>0</v>
      </c>
      <c r="AL60" s="681"/>
      <c r="AM60" s="681"/>
      <c r="AO60" s="679" t="s">
        <v>761</v>
      </c>
      <c r="AP60" s="680">
        <f>AP57*AP58</f>
        <v>0</v>
      </c>
      <c r="AQ60" s="681"/>
      <c r="AR60" s="681"/>
    </row>
    <row r="61" spans="1:44" ht="16" thickBot="1">
      <c r="A61" s="679" t="s">
        <v>762</v>
      </c>
      <c r="B61" s="680">
        <f>B60*B59</f>
        <v>604800</v>
      </c>
      <c r="C61" s="681"/>
      <c r="D61" s="681"/>
      <c r="E61" s="668"/>
      <c r="F61" s="679" t="s">
        <v>762</v>
      </c>
      <c r="G61" s="680">
        <f>G60*G59</f>
        <v>0</v>
      </c>
      <c r="H61" s="681"/>
      <c r="I61" s="681"/>
      <c r="J61" s="668"/>
      <c r="K61" s="679" t="s">
        <v>762</v>
      </c>
      <c r="L61" s="680">
        <f>L60*L59</f>
        <v>846720</v>
      </c>
      <c r="M61" s="681"/>
      <c r="N61" s="681"/>
      <c r="O61" s="668"/>
      <c r="P61" s="679" t="s">
        <v>762</v>
      </c>
      <c r="Q61" s="680">
        <f>Q60*Q59</f>
        <v>0</v>
      </c>
      <c r="R61" s="681"/>
      <c r="S61" s="681"/>
      <c r="U61" s="679" t="s">
        <v>762</v>
      </c>
      <c r="V61" s="680">
        <f>V60*V59</f>
        <v>1143360</v>
      </c>
      <c r="W61" s="681"/>
      <c r="X61" s="681"/>
      <c r="Z61" s="679" t="s">
        <v>762</v>
      </c>
      <c r="AA61" s="680">
        <f>AA60*AA59</f>
        <v>0</v>
      </c>
      <c r="AB61" s="681"/>
      <c r="AC61" s="681"/>
      <c r="AE61" s="679" t="s">
        <v>762</v>
      </c>
      <c r="AF61" s="680">
        <f>AF60*AF59</f>
        <v>1486080</v>
      </c>
      <c r="AG61" s="681"/>
      <c r="AH61" s="681"/>
      <c r="AJ61" s="679" t="s">
        <v>762</v>
      </c>
      <c r="AK61" s="680">
        <f>AK60*AK59</f>
        <v>0</v>
      </c>
      <c r="AL61" s="681"/>
      <c r="AM61" s="681"/>
      <c r="AO61" s="679" t="s">
        <v>762</v>
      </c>
      <c r="AP61" s="680">
        <f>AP60*AP59</f>
        <v>0</v>
      </c>
      <c r="AQ61" s="681"/>
      <c r="AR61" s="681"/>
    </row>
    <row r="62" spans="1:44" ht="16" thickBot="1">
      <c r="A62" s="679" t="s">
        <v>763</v>
      </c>
      <c r="B62" s="688">
        <f>C66/B61</f>
        <v>0.24983333333333335</v>
      </c>
      <c r="C62" s="681"/>
      <c r="D62" s="689"/>
      <c r="E62" s="668"/>
      <c r="F62" s="679" t="s">
        <v>763</v>
      </c>
      <c r="G62" s="688" t="e">
        <f>H66/G61</f>
        <v>#DIV/0!</v>
      </c>
      <c r="H62" s="681"/>
      <c r="I62" s="689"/>
      <c r="J62" s="668"/>
      <c r="K62" s="679" t="s">
        <v>763</v>
      </c>
      <c r="L62" s="688">
        <f>M66/L61</f>
        <v>0.24983333333333335</v>
      </c>
      <c r="M62" s="681"/>
      <c r="N62" s="689"/>
      <c r="O62" s="668"/>
      <c r="P62" s="679" t="s">
        <v>763</v>
      </c>
      <c r="Q62" s="688" t="e">
        <f>R66/Q61</f>
        <v>#DIV/0!</v>
      </c>
      <c r="R62" s="681"/>
      <c r="S62" s="689"/>
      <c r="U62" s="679" t="s">
        <v>763</v>
      </c>
      <c r="V62" s="688">
        <f>W66/V61</f>
        <v>0.24983333333333332</v>
      </c>
      <c r="W62" s="681"/>
      <c r="X62" s="689"/>
      <c r="Z62" s="679" t="s">
        <v>763</v>
      </c>
      <c r="AA62" s="688" t="e">
        <f>AB66/AA61</f>
        <v>#DIV/0!</v>
      </c>
      <c r="AB62" s="681"/>
      <c r="AC62" s="689"/>
      <c r="AE62" s="679" t="s">
        <v>763</v>
      </c>
      <c r="AF62" s="688">
        <f>AG66/AF61</f>
        <v>0.24983333333333335</v>
      </c>
      <c r="AG62" s="681"/>
      <c r="AH62" s="689"/>
      <c r="AJ62" s="679" t="s">
        <v>763</v>
      </c>
      <c r="AK62" s="688" t="e">
        <f>AL66/AK61</f>
        <v>#DIV/0!</v>
      </c>
      <c r="AL62" s="681"/>
      <c r="AM62" s="689"/>
      <c r="AO62" s="679" t="s">
        <v>763</v>
      </c>
      <c r="AP62" s="688" t="e">
        <f>AQ66/AP61</f>
        <v>#DIV/0!</v>
      </c>
      <c r="AQ62" s="681"/>
      <c r="AR62" s="689"/>
    </row>
    <row r="63" spans="1:44" ht="16" thickBot="1">
      <c r="A63" s="690"/>
      <c r="B63" s="691" t="s">
        <v>250</v>
      </c>
      <c r="C63" s="691" t="s">
        <v>764</v>
      </c>
      <c r="D63" s="691" t="s">
        <v>18</v>
      </c>
      <c r="E63" s="668"/>
      <c r="F63" s="690"/>
      <c r="G63" s="691" t="s">
        <v>250</v>
      </c>
      <c r="H63" s="691" t="s">
        <v>764</v>
      </c>
      <c r="I63" s="691" t="s">
        <v>18</v>
      </c>
      <c r="J63" s="668"/>
      <c r="K63" s="690"/>
      <c r="L63" s="691" t="s">
        <v>250</v>
      </c>
      <c r="M63" s="691" t="s">
        <v>764</v>
      </c>
      <c r="N63" s="691" t="s">
        <v>18</v>
      </c>
      <c r="O63" s="668"/>
      <c r="P63" s="690"/>
      <c r="Q63" s="691" t="s">
        <v>250</v>
      </c>
      <c r="R63" s="691" t="s">
        <v>764</v>
      </c>
      <c r="S63" s="691" t="s">
        <v>18</v>
      </c>
      <c r="U63" s="690"/>
      <c r="V63" s="691" t="s">
        <v>250</v>
      </c>
      <c r="W63" s="691" t="s">
        <v>764</v>
      </c>
      <c r="X63" s="691" t="s">
        <v>18</v>
      </c>
      <c r="Z63" s="690"/>
      <c r="AA63" s="691" t="s">
        <v>250</v>
      </c>
      <c r="AB63" s="691" t="s">
        <v>764</v>
      </c>
      <c r="AC63" s="691" t="s">
        <v>18</v>
      </c>
      <c r="AE63" s="690"/>
      <c r="AF63" s="691" t="s">
        <v>250</v>
      </c>
      <c r="AG63" s="691" t="s">
        <v>764</v>
      </c>
      <c r="AH63" s="691" t="s">
        <v>18</v>
      </c>
      <c r="AJ63" s="690"/>
      <c r="AK63" s="691" t="s">
        <v>250</v>
      </c>
      <c r="AL63" s="691" t="s">
        <v>764</v>
      </c>
      <c r="AM63" s="691" t="s">
        <v>18</v>
      </c>
      <c r="AO63" s="690"/>
      <c r="AP63" s="691" t="s">
        <v>250</v>
      </c>
      <c r="AQ63" s="691" t="s">
        <v>764</v>
      </c>
      <c r="AR63" s="691" t="s">
        <v>18</v>
      </c>
    </row>
    <row r="64" spans="1:44" ht="16" thickBot="1">
      <c r="A64" s="692" t="s">
        <v>765</v>
      </c>
      <c r="B64" s="693">
        <f>ROUND(C64*$B$89,2)</f>
        <v>3.75</v>
      </c>
      <c r="C64" s="694">
        <f>ROUND(D64*'Ted Inputs'!$G$11,2)</f>
        <v>7.5</v>
      </c>
      <c r="D64" s="694">
        <f>C53</f>
        <v>14.99</v>
      </c>
      <c r="E64" s="668"/>
      <c r="F64" s="692" t="s">
        <v>765</v>
      </c>
      <c r="G64" s="693">
        <f>ROUND(H64*$B$89,2)</f>
        <v>0</v>
      </c>
      <c r="H64" s="694">
        <f>ROUND(I64*'Ted Inputs'!$G$11,2)</f>
        <v>0</v>
      </c>
      <c r="I64" s="694">
        <f>H53</f>
        <v>0</v>
      </c>
      <c r="J64" s="668"/>
      <c r="K64" s="692" t="s">
        <v>765</v>
      </c>
      <c r="L64" s="693">
        <f>ROUND(M64*$B$89,2)</f>
        <v>3.75</v>
      </c>
      <c r="M64" s="694">
        <f>ROUND(N64*'Ted Inputs'!$G$11,2)</f>
        <v>7.5</v>
      </c>
      <c r="N64" s="694">
        <f>M53</f>
        <v>14.99</v>
      </c>
      <c r="O64" s="668"/>
      <c r="P64" s="692" t="s">
        <v>765</v>
      </c>
      <c r="Q64" s="693">
        <f>ROUND(R64*$B$89,2)</f>
        <v>0</v>
      </c>
      <c r="R64" s="694">
        <f>ROUND(S64*'Ted Inputs'!$G$11,2)</f>
        <v>0</v>
      </c>
      <c r="S64" s="694">
        <f>R53</f>
        <v>0</v>
      </c>
      <c r="U64" s="692" t="s">
        <v>765</v>
      </c>
      <c r="V64" s="693">
        <f>ROUND(W64*$B$89,2)</f>
        <v>3.75</v>
      </c>
      <c r="W64" s="694">
        <f>ROUND(X64*'Ted Inputs'!$G$11,2)</f>
        <v>7.5</v>
      </c>
      <c r="X64" s="694">
        <f>W53</f>
        <v>14.99</v>
      </c>
      <c r="Z64" s="692" t="s">
        <v>765</v>
      </c>
      <c r="AA64" s="693">
        <f>ROUND(AB64*$B$89,2)</f>
        <v>0</v>
      </c>
      <c r="AB64" s="694">
        <f>ROUND(AC64*'Ted Inputs'!$G$11,2)</f>
        <v>0</v>
      </c>
      <c r="AC64" s="694">
        <f>AB53</f>
        <v>0</v>
      </c>
      <c r="AE64" s="692" t="s">
        <v>765</v>
      </c>
      <c r="AF64" s="693">
        <f>ROUND(AG64*$B$89,2)</f>
        <v>3.75</v>
      </c>
      <c r="AG64" s="694">
        <f>ROUND(AH64*'Ted Inputs'!$G$11,2)</f>
        <v>7.5</v>
      </c>
      <c r="AH64" s="694">
        <f>AG53</f>
        <v>14.99</v>
      </c>
      <c r="AJ64" s="692" t="s">
        <v>765</v>
      </c>
      <c r="AK64" s="693">
        <f>ROUND(AL64*$B$89,2)</f>
        <v>0</v>
      </c>
      <c r="AL64" s="694">
        <f>ROUND(AM64*'Ted Inputs'!$G$11,2)</f>
        <v>0</v>
      </c>
      <c r="AM64" s="694">
        <f>AL53</f>
        <v>0</v>
      </c>
      <c r="AO64" s="692" t="s">
        <v>765</v>
      </c>
      <c r="AP64" s="693">
        <f>ROUND(AQ64*$B$89,2)</f>
        <v>0</v>
      </c>
      <c r="AQ64" s="694">
        <f>ROUND(AR64*'Ted Inputs'!$G$11,2)</f>
        <v>0</v>
      </c>
      <c r="AR64" s="694">
        <f>AQ53</f>
        <v>0</v>
      </c>
    </row>
    <row r="65" spans="1:44" ht="16" thickBot="1">
      <c r="A65" s="692" t="s">
        <v>766</v>
      </c>
      <c r="B65" s="693">
        <f>ROUND(C65*$B$89,2)</f>
        <v>179.88</v>
      </c>
      <c r="C65" s="695">
        <f>ROUND(D65*'Ted Inputs'!$G$11,2)</f>
        <v>359.76</v>
      </c>
      <c r="D65" s="695">
        <f>ROUND(D64*B56,2)</f>
        <v>719.52</v>
      </c>
      <c r="E65" s="668"/>
      <c r="F65" s="692" t="s">
        <v>766</v>
      </c>
      <c r="G65" s="693">
        <f>ROUND(H65*$B$89,2)</f>
        <v>0</v>
      </c>
      <c r="H65" s="695">
        <f>ROUND(I65*'Ted Inputs'!$G$11,2)</f>
        <v>0</v>
      </c>
      <c r="I65" s="695">
        <f>ROUND(I64*G56,2)</f>
        <v>0</v>
      </c>
      <c r="J65" s="668"/>
      <c r="K65" s="692" t="s">
        <v>766</v>
      </c>
      <c r="L65" s="693">
        <f>ROUND(M65*$B$89,2)</f>
        <v>179.88</v>
      </c>
      <c r="M65" s="695">
        <f>ROUND(N65*'Ted Inputs'!$G$11,2)</f>
        <v>359.76</v>
      </c>
      <c r="N65" s="695">
        <f>ROUND(N64*L56,2)</f>
        <v>719.52</v>
      </c>
      <c r="O65" s="668"/>
      <c r="P65" s="692" t="s">
        <v>766</v>
      </c>
      <c r="Q65" s="693">
        <f>ROUND(R65*$B$89,2)</f>
        <v>0</v>
      </c>
      <c r="R65" s="695">
        <f>ROUND(S65*'Ted Inputs'!$G$11,2)</f>
        <v>0</v>
      </c>
      <c r="S65" s="695">
        <f>ROUND(S64*Q56,2)</f>
        <v>0</v>
      </c>
      <c r="U65" s="692" t="s">
        <v>766</v>
      </c>
      <c r="V65" s="693">
        <f>ROUND(W65*$B$89,2)</f>
        <v>179.88</v>
      </c>
      <c r="W65" s="695">
        <f>ROUND(X65*'Ted Inputs'!$G$11,2)</f>
        <v>359.76</v>
      </c>
      <c r="X65" s="695">
        <f>ROUND(X64*V56,2)</f>
        <v>719.52</v>
      </c>
      <c r="Z65" s="692" t="s">
        <v>766</v>
      </c>
      <c r="AA65" s="693">
        <f>ROUND(AB65*$B$89,2)</f>
        <v>0</v>
      </c>
      <c r="AB65" s="695">
        <f>ROUND(AC65*'Ted Inputs'!$G$11,2)</f>
        <v>0</v>
      </c>
      <c r="AC65" s="695">
        <f>ROUND(AC64*AA56,2)</f>
        <v>0</v>
      </c>
      <c r="AE65" s="692" t="s">
        <v>766</v>
      </c>
      <c r="AF65" s="693">
        <f>ROUND(AG65*$B$89,2)</f>
        <v>179.88</v>
      </c>
      <c r="AG65" s="695">
        <f>ROUND(AH65*'Ted Inputs'!$G$11,2)</f>
        <v>359.76</v>
      </c>
      <c r="AH65" s="695">
        <f>ROUND(AH64*AF56,2)</f>
        <v>719.52</v>
      </c>
      <c r="AJ65" s="692" t="s">
        <v>766</v>
      </c>
      <c r="AK65" s="693">
        <f>ROUND(AL65*$B$89,2)</f>
        <v>0</v>
      </c>
      <c r="AL65" s="695">
        <f>ROUND(AM65*'Ted Inputs'!$G$11,2)</f>
        <v>0</v>
      </c>
      <c r="AM65" s="695">
        <f>ROUND(AM64*AK56,2)</f>
        <v>0</v>
      </c>
      <c r="AO65" s="692" t="s">
        <v>766</v>
      </c>
      <c r="AP65" s="693">
        <f>ROUND(AQ65*$B$89,2)</f>
        <v>0</v>
      </c>
      <c r="AQ65" s="695">
        <f>ROUND(AR65*'Ted Inputs'!$G$11,2)</f>
        <v>0</v>
      </c>
      <c r="AR65" s="695">
        <f>ROUND(AR64*AP56,2)</f>
        <v>0</v>
      </c>
    </row>
    <row r="66" spans="1:44" ht="16" thickBot="1">
      <c r="A66" s="692" t="s">
        <v>767</v>
      </c>
      <c r="B66" s="693">
        <f>ROUND(B65*$B55,2)</f>
        <v>75549.600000000006</v>
      </c>
      <c r="C66" s="695">
        <f>ROUND(C65*B55,2)</f>
        <v>151099.20000000001</v>
      </c>
      <c r="D66" s="695">
        <f>ROUND(D65*B55,2)</f>
        <v>302198.40000000002</v>
      </c>
      <c r="E66" s="668"/>
      <c r="F66" s="692" t="s">
        <v>767</v>
      </c>
      <c r="G66" s="693">
        <f>ROUND(G65*$B55,2)</f>
        <v>0</v>
      </c>
      <c r="H66" s="695">
        <f>ROUND(H65*G55,2)</f>
        <v>0</v>
      </c>
      <c r="I66" s="695">
        <f>ROUND(I65*G55,2)</f>
        <v>0</v>
      </c>
      <c r="J66" s="668"/>
      <c r="K66" s="692" t="s">
        <v>767</v>
      </c>
      <c r="L66" s="693">
        <f>ROUND(L65*$B55,2)</f>
        <v>75549.600000000006</v>
      </c>
      <c r="M66" s="695">
        <f>ROUND(M65*L55,2)</f>
        <v>211538.88</v>
      </c>
      <c r="N66" s="695">
        <f>ROUND(N65*L55,2)</f>
        <v>423077.76</v>
      </c>
      <c r="O66" s="668"/>
      <c r="P66" s="692" t="s">
        <v>767</v>
      </c>
      <c r="Q66" s="693">
        <f>ROUND(Q65*$B55,2)</f>
        <v>0</v>
      </c>
      <c r="R66" s="695">
        <f>ROUND(R65*Q55,2)</f>
        <v>0</v>
      </c>
      <c r="S66" s="695">
        <f>ROUND(S65*Q55,2)</f>
        <v>0</v>
      </c>
      <c r="U66" s="692" t="s">
        <v>767</v>
      </c>
      <c r="V66" s="693">
        <f>ROUND(V65*$B55,2)</f>
        <v>75549.600000000006</v>
      </c>
      <c r="W66" s="695">
        <f>ROUND(W65*V55,2)</f>
        <v>285649.44</v>
      </c>
      <c r="X66" s="695">
        <f>ROUND(X65*V55,2)</f>
        <v>571298.88</v>
      </c>
      <c r="Z66" s="692" t="s">
        <v>767</v>
      </c>
      <c r="AA66" s="693">
        <f>ROUND(AA65*$B55,2)</f>
        <v>0</v>
      </c>
      <c r="AB66" s="695">
        <f>ROUND(AB65*AA55,2)</f>
        <v>0</v>
      </c>
      <c r="AC66" s="695">
        <f>ROUND(AC65*AA55,2)</f>
        <v>0</v>
      </c>
      <c r="AE66" s="692" t="s">
        <v>767</v>
      </c>
      <c r="AF66" s="693">
        <f>ROUND(AF65*$B55,2)</f>
        <v>75549.600000000006</v>
      </c>
      <c r="AG66" s="695">
        <f>ROUND(AG65*AF55,2)</f>
        <v>371272.32</v>
      </c>
      <c r="AH66" s="695">
        <f>ROUND(AH65*AF55,2)</f>
        <v>742544.64</v>
      </c>
      <c r="AJ66" s="692" t="s">
        <v>767</v>
      </c>
      <c r="AK66" s="693">
        <f>ROUND(AK65*$B55,2)</f>
        <v>0</v>
      </c>
      <c r="AL66" s="695">
        <f>ROUND(AL65*AK55,2)</f>
        <v>0</v>
      </c>
      <c r="AM66" s="695">
        <f>ROUND(AM65*AK55,2)</f>
        <v>0</v>
      </c>
      <c r="AO66" s="692" t="s">
        <v>767</v>
      </c>
      <c r="AP66" s="693">
        <f>ROUND(AP65*$B55,2)</f>
        <v>0</v>
      </c>
      <c r="AQ66" s="695">
        <f>ROUND(AQ65*AP55,2)</f>
        <v>0</v>
      </c>
      <c r="AR66" s="695">
        <f>ROUND(AR65*AP55,2)</f>
        <v>0</v>
      </c>
    </row>
    <row r="67" spans="1:44" ht="16" thickBot="1">
      <c r="A67" s="668"/>
      <c r="B67" s="668"/>
      <c r="C67" s="668"/>
      <c r="D67" s="668"/>
      <c r="E67" s="668"/>
      <c r="F67" s="668"/>
      <c r="G67" s="668"/>
      <c r="H67" s="668"/>
      <c r="I67" s="668"/>
      <c r="J67" s="668"/>
      <c r="K67" s="668"/>
      <c r="L67" s="668"/>
      <c r="M67" s="668"/>
      <c r="N67" s="668"/>
      <c r="O67" s="668"/>
      <c r="P67" s="668"/>
      <c r="Q67" s="668"/>
      <c r="R67" s="668"/>
      <c r="S67" s="668"/>
      <c r="U67" s="668"/>
      <c r="V67" s="668"/>
      <c r="W67" s="668"/>
      <c r="X67" s="668"/>
      <c r="Z67" s="668"/>
      <c r="AA67" s="668"/>
      <c r="AB67" s="668"/>
      <c r="AC67" s="668"/>
      <c r="AE67" s="668"/>
      <c r="AF67" s="668"/>
      <c r="AG67" s="668"/>
      <c r="AH67" s="668"/>
      <c r="AJ67" s="668"/>
      <c r="AK67" s="668"/>
      <c r="AL67" s="668"/>
      <c r="AM67" s="668"/>
      <c r="AO67" s="668"/>
      <c r="AP67" s="668"/>
      <c r="AQ67" s="668"/>
      <c r="AR67" s="668"/>
    </row>
    <row r="68" spans="1:44" ht="16" thickBot="1">
      <c r="A68" s="668"/>
      <c r="B68" s="668"/>
      <c r="C68" s="674" t="s">
        <v>754</v>
      </c>
      <c r="D68" s="675"/>
      <c r="E68" s="668"/>
      <c r="F68" s="668"/>
      <c r="G68" s="668"/>
      <c r="H68" s="674" t="s">
        <v>754</v>
      </c>
      <c r="I68" s="675"/>
      <c r="J68" s="668"/>
      <c r="K68" s="668"/>
      <c r="L68" s="668"/>
      <c r="M68" s="674" t="s">
        <v>754</v>
      </c>
      <c r="N68" s="675"/>
      <c r="O68" s="668"/>
      <c r="P68" s="668"/>
      <c r="Q68" s="668"/>
      <c r="R68" s="674" t="s">
        <v>754</v>
      </c>
      <c r="S68" s="675"/>
      <c r="U68" s="668"/>
      <c r="V68" s="668"/>
      <c r="W68" s="674" t="s">
        <v>754</v>
      </c>
      <c r="X68" s="675"/>
      <c r="Z68" s="668"/>
      <c r="AA68" s="668"/>
      <c r="AB68" s="674" t="s">
        <v>754</v>
      </c>
      <c r="AC68" s="675"/>
      <c r="AE68" s="668"/>
      <c r="AF68" s="668"/>
      <c r="AG68" s="674" t="s">
        <v>754</v>
      </c>
      <c r="AH68" s="675"/>
      <c r="AJ68" s="668"/>
      <c r="AK68" s="668"/>
      <c r="AL68" s="674" t="s">
        <v>754</v>
      </c>
      <c r="AM68" s="675"/>
      <c r="AO68" s="668"/>
      <c r="AP68" s="668"/>
      <c r="AQ68" s="674" t="s">
        <v>754</v>
      </c>
      <c r="AR68" s="675"/>
    </row>
    <row r="69" spans="1:44" s="677" customFormat="1" ht="32">
      <c r="A69" s="676" t="s">
        <v>772</v>
      </c>
      <c r="B69" s="1172" t="s">
        <v>18</v>
      </c>
      <c r="C69" s="1174">
        <f>'PPA MLP Inputs'!E27</f>
        <v>0</v>
      </c>
      <c r="D69" s="1172"/>
      <c r="E69" s="1179"/>
      <c r="F69" s="676" t="s">
        <v>772</v>
      </c>
      <c r="G69" s="1172" t="s">
        <v>18</v>
      </c>
      <c r="H69" s="1176">
        <f>'PPA MLP Inputs'!E40</f>
        <v>0</v>
      </c>
      <c r="I69" s="1172"/>
      <c r="J69" s="1179"/>
      <c r="K69" s="676" t="s">
        <v>772</v>
      </c>
      <c r="L69" s="1172" t="s">
        <v>18</v>
      </c>
      <c r="M69" s="1174">
        <f>'PPA MLP Inputs'!E53</f>
        <v>0</v>
      </c>
      <c r="N69" s="1172"/>
      <c r="O69" s="1180"/>
      <c r="P69" s="676" t="s">
        <v>772</v>
      </c>
      <c r="Q69" s="1172" t="s">
        <v>18</v>
      </c>
      <c r="R69" s="1174">
        <f>'PPA MLP Inputs'!E66</f>
        <v>0</v>
      </c>
      <c r="S69" s="1172"/>
      <c r="U69" s="676" t="s">
        <v>772</v>
      </c>
      <c r="V69" s="1172" t="s">
        <v>18</v>
      </c>
      <c r="W69" s="1174">
        <f>'PPA MLP Inputs'!E79</f>
        <v>0</v>
      </c>
      <c r="X69" s="1172"/>
      <c r="Z69" s="676" t="s">
        <v>772</v>
      </c>
      <c r="AA69" s="1172" t="s">
        <v>18</v>
      </c>
      <c r="AB69" s="1174">
        <f>'PPA MLP Inputs'!E92</f>
        <v>0</v>
      </c>
      <c r="AC69" s="1172"/>
      <c r="AE69" s="676" t="s">
        <v>772</v>
      </c>
      <c r="AF69" s="1172" t="s">
        <v>18</v>
      </c>
      <c r="AG69" s="1174">
        <f>'PPA MLP Inputs'!E105</f>
        <v>0</v>
      </c>
      <c r="AH69" s="1172"/>
      <c r="AJ69" s="676" t="s">
        <v>772</v>
      </c>
      <c r="AK69" s="1172" t="s">
        <v>18</v>
      </c>
      <c r="AL69" s="1174">
        <f>'PPA MLP Inputs'!E118</f>
        <v>0</v>
      </c>
      <c r="AM69" s="1172"/>
      <c r="AO69" s="676" t="s">
        <v>772</v>
      </c>
      <c r="AP69" s="1172" t="s">
        <v>18</v>
      </c>
      <c r="AQ69" s="1174">
        <f>'PPA MLP Inputs'!E131</f>
        <v>0</v>
      </c>
      <c r="AR69" s="1172"/>
    </row>
    <row r="70" spans="1:44" s="677" customFormat="1" ht="16" thickBot="1">
      <c r="A70" s="678" t="s">
        <v>773</v>
      </c>
      <c r="B70" s="1173"/>
      <c r="C70" s="1175"/>
      <c r="D70" s="1173"/>
      <c r="E70" s="1179"/>
      <c r="F70" s="678" t="s">
        <v>773</v>
      </c>
      <c r="G70" s="1173"/>
      <c r="H70" s="1177"/>
      <c r="I70" s="1173"/>
      <c r="J70" s="1179"/>
      <c r="K70" s="678" t="s">
        <v>773</v>
      </c>
      <c r="L70" s="1173"/>
      <c r="M70" s="1175"/>
      <c r="N70" s="1173"/>
      <c r="O70" s="1180"/>
      <c r="P70" s="678" t="s">
        <v>773</v>
      </c>
      <c r="Q70" s="1173"/>
      <c r="R70" s="1175"/>
      <c r="S70" s="1173"/>
      <c r="U70" s="678" t="s">
        <v>773</v>
      </c>
      <c r="V70" s="1173"/>
      <c r="W70" s="1175"/>
      <c r="X70" s="1173"/>
      <c r="Z70" s="678" t="s">
        <v>773</v>
      </c>
      <c r="AA70" s="1173"/>
      <c r="AB70" s="1175"/>
      <c r="AC70" s="1173"/>
      <c r="AE70" s="678" t="s">
        <v>773</v>
      </c>
      <c r="AF70" s="1173"/>
      <c r="AG70" s="1175"/>
      <c r="AH70" s="1173"/>
      <c r="AJ70" s="678" t="s">
        <v>773</v>
      </c>
      <c r="AK70" s="1173"/>
      <c r="AL70" s="1175"/>
      <c r="AM70" s="1173"/>
      <c r="AO70" s="678" t="s">
        <v>773</v>
      </c>
      <c r="AP70" s="1173"/>
      <c r="AQ70" s="1175"/>
      <c r="AR70" s="1173"/>
    </row>
    <row r="71" spans="1:44" ht="16" thickBot="1">
      <c r="A71" s="679" t="s">
        <v>759</v>
      </c>
      <c r="B71" s="681">
        <f>'PPA MLP Inputs'!I27</f>
        <v>0</v>
      </c>
      <c r="C71" s="681"/>
      <c r="D71" s="689"/>
      <c r="E71" s="668"/>
      <c r="F71" s="679" t="s">
        <v>759</v>
      </c>
      <c r="G71" s="681">
        <f>'PPA MLP Inputs'!I40</f>
        <v>0</v>
      </c>
      <c r="H71" s="681"/>
      <c r="I71" s="689"/>
      <c r="J71" s="668"/>
      <c r="K71" s="679" t="s">
        <v>759</v>
      </c>
      <c r="L71" s="681">
        <f>'PPA MLP Inputs'!I53</f>
        <v>0</v>
      </c>
      <c r="M71" s="681"/>
      <c r="N71" s="689"/>
      <c r="O71" s="668"/>
      <c r="P71" s="679" t="s">
        <v>759</v>
      </c>
      <c r="Q71" s="681">
        <f>'PPA MLP Inputs'!I66</f>
        <v>0</v>
      </c>
      <c r="R71" s="681"/>
      <c r="S71" s="689"/>
      <c r="U71" s="679" t="s">
        <v>759</v>
      </c>
      <c r="V71" s="681">
        <f>'PPA MLP Inputs'!I79</f>
        <v>0</v>
      </c>
      <c r="W71" s="681"/>
      <c r="X71" s="689"/>
      <c r="Z71" s="679" t="s">
        <v>759</v>
      </c>
      <c r="AA71" s="681">
        <f>'PPA MLP Inputs'!I92</f>
        <v>0</v>
      </c>
      <c r="AB71" s="681"/>
      <c r="AC71" s="689"/>
      <c r="AE71" s="679" t="s">
        <v>759</v>
      </c>
      <c r="AF71" s="681">
        <f>'PPA MLP Inputs'!I105</f>
        <v>0</v>
      </c>
      <c r="AG71" s="681"/>
      <c r="AH71" s="689"/>
      <c r="AJ71" s="679" t="s">
        <v>759</v>
      </c>
      <c r="AK71" s="681">
        <f>'PPA MLP Inputs'!I118</f>
        <v>0</v>
      </c>
      <c r="AL71" s="681"/>
      <c r="AM71" s="689"/>
      <c r="AO71" s="679" t="s">
        <v>759</v>
      </c>
      <c r="AP71" s="681">
        <f>'PPA MLP Inputs'!I131</f>
        <v>0</v>
      </c>
      <c r="AQ71" s="681"/>
      <c r="AR71" s="689"/>
    </row>
    <row r="72" spans="1:44" ht="16" thickBot="1">
      <c r="A72" s="679" t="s">
        <v>774</v>
      </c>
      <c r="B72" s="681">
        <f>'PPA MLP Inputs'!M27</f>
        <v>0</v>
      </c>
      <c r="C72" s="681"/>
      <c r="D72" s="681"/>
      <c r="E72" s="668"/>
      <c r="F72" s="679" t="s">
        <v>774</v>
      </c>
      <c r="G72" s="681">
        <f>'PPA MLP Inputs'!M40</f>
        <v>0</v>
      </c>
      <c r="H72" s="681"/>
      <c r="I72" s="681"/>
      <c r="J72" s="668"/>
      <c r="K72" s="679" t="s">
        <v>774</v>
      </c>
      <c r="L72" s="681">
        <f>'PPA MLP Inputs'!M53</f>
        <v>0</v>
      </c>
      <c r="M72" s="681"/>
      <c r="N72" s="681"/>
      <c r="O72" s="668"/>
      <c r="P72" s="679" t="s">
        <v>774</v>
      </c>
      <c r="Q72" s="681">
        <f>'PPA MLP Inputs'!M66</f>
        <v>0</v>
      </c>
      <c r="R72" s="681"/>
      <c r="S72" s="681"/>
      <c r="U72" s="679" t="s">
        <v>774</v>
      </c>
      <c r="V72" s="681">
        <f>'PPA MLP Inputs'!M79</f>
        <v>0</v>
      </c>
      <c r="W72" s="681"/>
      <c r="X72" s="681"/>
      <c r="Z72" s="679" t="s">
        <v>774</v>
      </c>
      <c r="AA72" s="681">
        <f>'PPA MLP Inputs'!M92</f>
        <v>0</v>
      </c>
      <c r="AB72" s="681"/>
      <c r="AC72" s="681"/>
      <c r="AE72" s="679" t="s">
        <v>774</v>
      </c>
      <c r="AF72" s="681">
        <f>'PPA MLP Inputs'!M105</f>
        <v>0</v>
      </c>
      <c r="AG72" s="681"/>
      <c r="AH72" s="681"/>
      <c r="AJ72" s="679" t="s">
        <v>774</v>
      </c>
      <c r="AK72" s="681">
        <f>'PPA MLP Inputs'!M118</f>
        <v>0</v>
      </c>
      <c r="AL72" s="681"/>
      <c r="AM72" s="681"/>
      <c r="AO72" s="679" t="s">
        <v>774</v>
      </c>
      <c r="AP72" s="681">
        <f>'PPA MLP Inputs'!M131</f>
        <v>0</v>
      </c>
      <c r="AQ72" s="681"/>
      <c r="AR72" s="681"/>
    </row>
    <row r="73" spans="1:44" ht="16" thickBot="1">
      <c r="A73" s="679" t="s">
        <v>762</v>
      </c>
      <c r="B73" s="680">
        <f>B71*B72</f>
        <v>0</v>
      </c>
      <c r="C73" s="681"/>
      <c r="D73" s="681"/>
      <c r="E73" s="668"/>
      <c r="F73" s="679" t="s">
        <v>762</v>
      </c>
      <c r="G73" s="680">
        <f>G71*G72</f>
        <v>0</v>
      </c>
      <c r="H73" s="681"/>
      <c r="I73" s="681"/>
      <c r="J73" s="668"/>
      <c r="K73" s="679" t="s">
        <v>762</v>
      </c>
      <c r="L73" s="680">
        <f>L71*L72</f>
        <v>0</v>
      </c>
      <c r="M73" s="681"/>
      <c r="N73" s="681"/>
      <c r="O73" s="668"/>
      <c r="P73" s="679" t="s">
        <v>762</v>
      </c>
      <c r="Q73" s="680">
        <f>Q71*Q72</f>
        <v>0</v>
      </c>
      <c r="R73" s="681"/>
      <c r="S73" s="681"/>
      <c r="U73" s="679" t="s">
        <v>762</v>
      </c>
      <c r="V73" s="680">
        <f>V71*V72</f>
        <v>0</v>
      </c>
      <c r="W73" s="681"/>
      <c r="X73" s="681"/>
      <c r="Z73" s="679" t="s">
        <v>762</v>
      </c>
      <c r="AA73" s="680">
        <f>AA71*AA72</f>
        <v>0</v>
      </c>
      <c r="AB73" s="681"/>
      <c r="AC73" s="681"/>
      <c r="AE73" s="679" t="s">
        <v>762</v>
      </c>
      <c r="AF73" s="680">
        <f>AF71*AF72</f>
        <v>0</v>
      </c>
      <c r="AG73" s="681"/>
      <c r="AH73" s="681"/>
      <c r="AJ73" s="679" t="s">
        <v>762</v>
      </c>
      <c r="AK73" s="680">
        <f>AK71*AK72</f>
        <v>0</v>
      </c>
      <c r="AL73" s="681"/>
      <c r="AM73" s="681"/>
      <c r="AO73" s="679" t="s">
        <v>762</v>
      </c>
      <c r="AP73" s="680">
        <f>AP71*AP72</f>
        <v>0</v>
      </c>
      <c r="AQ73" s="681"/>
      <c r="AR73" s="681"/>
    </row>
    <row r="74" spans="1:44" ht="16" thickBot="1">
      <c r="A74" s="679" t="s">
        <v>763</v>
      </c>
      <c r="B74" s="689" t="e">
        <f>D77/B73</f>
        <v>#DIV/0!</v>
      </c>
      <c r="C74" s="681"/>
      <c r="D74" s="689"/>
      <c r="E74" s="668"/>
      <c r="F74" s="679" t="s">
        <v>763</v>
      </c>
      <c r="G74" s="689" t="e">
        <f>I77/G73</f>
        <v>#DIV/0!</v>
      </c>
      <c r="H74" s="681"/>
      <c r="I74" s="689"/>
      <c r="J74" s="668"/>
      <c r="K74" s="679" t="s">
        <v>763</v>
      </c>
      <c r="L74" s="689" t="e">
        <f>N77/L73</f>
        <v>#DIV/0!</v>
      </c>
      <c r="M74" s="681"/>
      <c r="N74" s="689"/>
      <c r="O74" s="668"/>
      <c r="P74" s="679" t="s">
        <v>763</v>
      </c>
      <c r="Q74" s="689" t="e">
        <f>S77/Q73</f>
        <v>#DIV/0!</v>
      </c>
      <c r="R74" s="681"/>
      <c r="S74" s="689"/>
      <c r="U74" s="679" t="s">
        <v>763</v>
      </c>
      <c r="V74" s="689" t="e">
        <f>X77/V73</f>
        <v>#DIV/0!</v>
      </c>
      <c r="W74" s="681"/>
      <c r="X74" s="689"/>
      <c r="Z74" s="679" t="s">
        <v>763</v>
      </c>
      <c r="AA74" s="689" t="e">
        <f>AC77/AA73</f>
        <v>#DIV/0!</v>
      </c>
      <c r="AB74" s="681"/>
      <c r="AC74" s="689"/>
      <c r="AE74" s="679" t="s">
        <v>763</v>
      </c>
      <c r="AF74" s="689" t="e">
        <f>AH77/AF73</f>
        <v>#DIV/0!</v>
      </c>
      <c r="AG74" s="681"/>
      <c r="AH74" s="689"/>
      <c r="AJ74" s="679" t="s">
        <v>763</v>
      </c>
      <c r="AK74" s="689" t="e">
        <f>AM77/AK73</f>
        <v>#DIV/0!</v>
      </c>
      <c r="AL74" s="681"/>
      <c r="AM74" s="689"/>
      <c r="AO74" s="679" t="s">
        <v>763</v>
      </c>
      <c r="AP74" s="689" t="e">
        <f>AR77/AP73</f>
        <v>#DIV/0!</v>
      </c>
      <c r="AQ74" s="681"/>
      <c r="AR74" s="689"/>
    </row>
    <row r="75" spans="1:44" ht="16" thickBot="1">
      <c r="A75" s="690"/>
      <c r="B75" s="691" t="s">
        <v>250</v>
      </c>
      <c r="C75" s="691" t="s">
        <v>764</v>
      </c>
      <c r="D75" s="691" t="s">
        <v>18</v>
      </c>
      <c r="E75" s="668"/>
      <c r="F75" s="690"/>
      <c r="G75" s="691" t="s">
        <v>250</v>
      </c>
      <c r="H75" s="691" t="s">
        <v>764</v>
      </c>
      <c r="I75" s="691" t="s">
        <v>18</v>
      </c>
      <c r="J75" s="668"/>
      <c r="K75" s="690"/>
      <c r="L75" s="691" t="s">
        <v>250</v>
      </c>
      <c r="M75" s="691" t="s">
        <v>764</v>
      </c>
      <c r="N75" s="691" t="s">
        <v>18</v>
      </c>
      <c r="O75" s="668"/>
      <c r="P75" s="690"/>
      <c r="Q75" s="691" t="s">
        <v>250</v>
      </c>
      <c r="R75" s="691" t="s">
        <v>764</v>
      </c>
      <c r="S75" s="691" t="s">
        <v>18</v>
      </c>
      <c r="U75" s="690"/>
      <c r="V75" s="691" t="s">
        <v>250</v>
      </c>
      <c r="W75" s="691" t="s">
        <v>764</v>
      </c>
      <c r="X75" s="691" t="s">
        <v>18</v>
      </c>
      <c r="Z75" s="690"/>
      <c r="AA75" s="691" t="s">
        <v>250</v>
      </c>
      <c r="AB75" s="691" t="s">
        <v>764</v>
      </c>
      <c r="AC75" s="691" t="s">
        <v>18</v>
      </c>
      <c r="AE75" s="690"/>
      <c r="AF75" s="691" t="s">
        <v>250</v>
      </c>
      <c r="AG75" s="691" t="s">
        <v>764</v>
      </c>
      <c r="AH75" s="691" t="s">
        <v>18</v>
      </c>
      <c r="AJ75" s="690"/>
      <c r="AK75" s="691" t="s">
        <v>250</v>
      </c>
      <c r="AL75" s="691" t="s">
        <v>764</v>
      </c>
      <c r="AM75" s="691" t="s">
        <v>18</v>
      </c>
      <c r="AO75" s="690"/>
      <c r="AP75" s="691" t="s">
        <v>250</v>
      </c>
      <c r="AQ75" s="691" t="s">
        <v>764</v>
      </c>
      <c r="AR75" s="691" t="s">
        <v>18</v>
      </c>
    </row>
    <row r="76" spans="1:44" ht="16" thickBot="1">
      <c r="A76" s="692" t="s">
        <v>765</v>
      </c>
      <c r="B76" s="693">
        <f>ROUND(C76*$B$89,2)</f>
        <v>0</v>
      </c>
      <c r="C76" s="694">
        <f>C69</f>
        <v>0</v>
      </c>
      <c r="D76" s="694">
        <f>C69</f>
        <v>0</v>
      </c>
      <c r="E76" s="668"/>
      <c r="F76" s="692" t="s">
        <v>765</v>
      </c>
      <c r="G76" s="693">
        <f>ROUND(H76*$B$89,2)</f>
        <v>0</v>
      </c>
      <c r="H76" s="694">
        <f>H69</f>
        <v>0</v>
      </c>
      <c r="I76" s="694">
        <f>H69</f>
        <v>0</v>
      </c>
      <c r="J76" s="668"/>
      <c r="K76" s="692" t="s">
        <v>765</v>
      </c>
      <c r="L76" s="693">
        <f>ROUND(M76*$B$89,2)</f>
        <v>0</v>
      </c>
      <c r="M76" s="694">
        <f>M69</f>
        <v>0</v>
      </c>
      <c r="N76" s="694">
        <f>M69</f>
        <v>0</v>
      </c>
      <c r="O76" s="668"/>
      <c r="P76" s="692" t="s">
        <v>765</v>
      </c>
      <c r="Q76" s="693">
        <f>ROUND(R76*$B$89,2)</f>
        <v>0</v>
      </c>
      <c r="R76" s="694">
        <f>R69</f>
        <v>0</v>
      </c>
      <c r="S76" s="694">
        <f>R69</f>
        <v>0</v>
      </c>
      <c r="U76" s="692" t="s">
        <v>765</v>
      </c>
      <c r="V76" s="693">
        <f>ROUND(W76*$B$89,2)</f>
        <v>0</v>
      </c>
      <c r="W76" s="694">
        <f>W69</f>
        <v>0</v>
      </c>
      <c r="X76" s="694">
        <f>W69</f>
        <v>0</v>
      </c>
      <c r="Z76" s="692" t="s">
        <v>765</v>
      </c>
      <c r="AA76" s="693">
        <f>ROUND(AB76*$B$89,2)</f>
        <v>0</v>
      </c>
      <c r="AB76" s="694">
        <f>AB69</f>
        <v>0</v>
      </c>
      <c r="AC76" s="694">
        <f>AB69</f>
        <v>0</v>
      </c>
      <c r="AE76" s="692" t="s">
        <v>765</v>
      </c>
      <c r="AF76" s="693">
        <f>ROUND(AG76*$B$89,2)</f>
        <v>0</v>
      </c>
      <c r="AG76" s="694">
        <f>AG69</f>
        <v>0</v>
      </c>
      <c r="AH76" s="694">
        <f>AG69</f>
        <v>0</v>
      </c>
      <c r="AJ76" s="692" t="s">
        <v>765</v>
      </c>
      <c r="AK76" s="693">
        <f>ROUND(AL76*$B$89,2)</f>
        <v>0</v>
      </c>
      <c r="AL76" s="694">
        <f>AL69</f>
        <v>0</v>
      </c>
      <c r="AM76" s="694">
        <f>AL69</f>
        <v>0</v>
      </c>
      <c r="AO76" s="692" t="s">
        <v>765</v>
      </c>
      <c r="AP76" s="693">
        <f>ROUND(AQ76*$B$89,2)</f>
        <v>0</v>
      </c>
      <c r="AQ76" s="694">
        <f>AQ69</f>
        <v>0</v>
      </c>
      <c r="AR76" s="694">
        <f>AQ69</f>
        <v>0</v>
      </c>
    </row>
    <row r="77" spans="1:44" ht="16" thickBot="1">
      <c r="A77" s="692" t="s">
        <v>767</v>
      </c>
      <c r="B77" s="693">
        <f>ROUND(B76*B71,2)</f>
        <v>0</v>
      </c>
      <c r="C77" s="694">
        <f>ROUND(C76*B71,2)</f>
        <v>0</v>
      </c>
      <c r="D77" s="694">
        <f>ROUND(D76*B71,2)</f>
        <v>0</v>
      </c>
      <c r="E77" s="668"/>
      <c r="F77" s="692" t="s">
        <v>767</v>
      </c>
      <c r="G77" s="693">
        <f>ROUND(G76*G71,2)</f>
        <v>0</v>
      </c>
      <c r="H77" s="694">
        <f>ROUND(H76*G71,2)</f>
        <v>0</v>
      </c>
      <c r="I77" s="694">
        <f>ROUND(I76*G71,2)</f>
        <v>0</v>
      </c>
      <c r="J77" s="668"/>
      <c r="K77" s="692" t="s">
        <v>767</v>
      </c>
      <c r="L77" s="693">
        <f>ROUND(L76*L71,2)</f>
        <v>0</v>
      </c>
      <c r="M77" s="694">
        <f>ROUND(M76*L71,2)</f>
        <v>0</v>
      </c>
      <c r="N77" s="694">
        <f>ROUND(N76*L71,2)</f>
        <v>0</v>
      </c>
      <c r="O77" s="668"/>
      <c r="P77" s="692" t="s">
        <v>767</v>
      </c>
      <c r="Q77" s="693">
        <f>ROUND(Q76*Q71,2)</f>
        <v>0</v>
      </c>
      <c r="R77" s="694">
        <f>ROUND(R76*Q71,2)</f>
        <v>0</v>
      </c>
      <c r="S77" s="694">
        <f>ROUND(S76*Q71,2)</f>
        <v>0</v>
      </c>
      <c r="U77" s="692" t="s">
        <v>767</v>
      </c>
      <c r="V77" s="693">
        <f>ROUND(V76*V71,2)</f>
        <v>0</v>
      </c>
      <c r="W77" s="694">
        <f>ROUND(W76*V71,2)</f>
        <v>0</v>
      </c>
      <c r="X77" s="694">
        <f>ROUND(X76*V71,2)</f>
        <v>0</v>
      </c>
      <c r="Z77" s="692" t="s">
        <v>767</v>
      </c>
      <c r="AA77" s="693">
        <f>ROUND(AA76*AA71,2)</f>
        <v>0</v>
      </c>
      <c r="AB77" s="694">
        <f>ROUND(AB76*AA71,2)</f>
        <v>0</v>
      </c>
      <c r="AC77" s="694">
        <f>ROUND(AC76*AA71,2)</f>
        <v>0</v>
      </c>
      <c r="AE77" s="692" t="s">
        <v>767</v>
      </c>
      <c r="AF77" s="693">
        <f>ROUND(AF76*AF71,2)</f>
        <v>0</v>
      </c>
      <c r="AG77" s="694">
        <f>ROUND(AG76*AF71,2)</f>
        <v>0</v>
      </c>
      <c r="AH77" s="694">
        <f>ROUND(AH76*AF71,2)</f>
        <v>0</v>
      </c>
      <c r="AJ77" s="692" t="s">
        <v>767</v>
      </c>
      <c r="AK77" s="693">
        <f>ROUND(AK76*AK71,2)</f>
        <v>0</v>
      </c>
      <c r="AL77" s="694">
        <f>ROUND(AL76*AK71,2)</f>
        <v>0</v>
      </c>
      <c r="AM77" s="694">
        <f>ROUND(AM76*AK71,2)</f>
        <v>0</v>
      </c>
      <c r="AO77" s="692" t="s">
        <v>767</v>
      </c>
      <c r="AP77" s="693">
        <f>ROUND(AP76*AP71,2)</f>
        <v>0</v>
      </c>
      <c r="AQ77" s="694">
        <f>ROUND(AQ76*AP71,2)</f>
        <v>0</v>
      </c>
      <c r="AR77" s="694">
        <f>ROUND(AR76*AP71,2)</f>
        <v>0</v>
      </c>
    </row>
    <row r="78" spans="1:44">
      <c r="A78" s="668"/>
      <c r="B78" s="668"/>
      <c r="C78" s="668"/>
      <c r="D78" s="668"/>
      <c r="E78" s="668"/>
      <c r="F78" s="668"/>
      <c r="G78" s="668"/>
      <c r="H78" s="668"/>
      <c r="I78" s="668"/>
      <c r="J78" s="668"/>
      <c r="K78" s="668"/>
      <c r="L78" s="668"/>
      <c r="M78" s="668"/>
      <c r="N78" s="668"/>
      <c r="O78" s="668"/>
      <c r="P78" s="668"/>
      <c r="Q78" s="668"/>
      <c r="R78" s="668"/>
      <c r="S78" s="668"/>
      <c r="U78" s="668"/>
      <c r="V78" s="668"/>
      <c r="W78" s="668"/>
      <c r="X78" s="668"/>
      <c r="Z78" s="668"/>
      <c r="AA78" s="668"/>
      <c r="AB78" s="668"/>
      <c r="AC78" s="668"/>
      <c r="AE78" s="668"/>
      <c r="AF78" s="668"/>
      <c r="AG78" s="668"/>
      <c r="AH78" s="668"/>
      <c r="AJ78" s="668"/>
      <c r="AK78" s="668"/>
      <c r="AL78" s="668"/>
      <c r="AM78" s="668"/>
      <c r="AO78" s="668"/>
      <c r="AP78" s="668"/>
      <c r="AQ78" s="668"/>
      <c r="AR78" s="668"/>
    </row>
    <row r="79" spans="1:44">
      <c r="A79" s="668" t="s">
        <v>149</v>
      </c>
      <c r="B79" s="696">
        <f>B13+B29+B45+B61+B73</f>
        <v>1456800</v>
      </c>
      <c r="C79" s="668"/>
      <c r="D79" s="697"/>
      <c r="E79" s="668"/>
      <c r="F79" s="668" t="s">
        <v>149</v>
      </c>
      <c r="G79" s="696">
        <f>G13+G29+G45+G61+G73</f>
        <v>724800</v>
      </c>
      <c r="H79" s="668"/>
      <c r="I79" s="697"/>
      <c r="J79" s="668"/>
      <c r="K79" s="668" t="s">
        <v>149</v>
      </c>
      <c r="L79" s="696">
        <f>L13+L29+L45+L61+L73</f>
        <v>2039520</v>
      </c>
      <c r="M79" s="668"/>
      <c r="N79" s="697"/>
      <c r="O79" s="668"/>
      <c r="P79" s="668" t="s">
        <v>149</v>
      </c>
      <c r="Q79" s="696">
        <f>Q13+Q29+Q45+Q61+Q73</f>
        <v>520800</v>
      </c>
      <c r="R79" s="668"/>
      <c r="S79" s="697"/>
      <c r="U79" s="668" t="s">
        <v>149</v>
      </c>
      <c r="V79" s="696">
        <f>V13+V29+V45+V61+V73</f>
        <v>2753840</v>
      </c>
      <c r="W79" s="668"/>
      <c r="X79" s="697"/>
      <c r="Z79" s="668" t="s">
        <v>149</v>
      </c>
      <c r="AA79" s="696">
        <f>AA13+AA29+AA45+AA61+AA73</f>
        <v>703560</v>
      </c>
      <c r="AB79" s="668"/>
      <c r="AC79" s="697"/>
      <c r="AE79" s="668" t="s">
        <v>149</v>
      </c>
      <c r="AF79" s="696">
        <f>AF13+AF29+AF45+AF61+AF73</f>
        <v>3578800</v>
      </c>
      <c r="AG79" s="668"/>
      <c r="AH79" s="697"/>
      <c r="AJ79" s="668" t="s">
        <v>149</v>
      </c>
      <c r="AK79" s="696">
        <f>AK13+AK29+AK45+AK61+AK73</f>
        <v>914920</v>
      </c>
      <c r="AL79" s="668"/>
      <c r="AM79" s="697"/>
      <c r="AO79" s="668" t="s">
        <v>149</v>
      </c>
      <c r="AP79" s="696">
        <f>AP13+AP29+AP45+AP61+AP73</f>
        <v>3000</v>
      </c>
      <c r="AQ79" s="668"/>
      <c r="AR79" s="697"/>
    </row>
    <row r="80" spans="1:44">
      <c r="A80" s="668" t="s">
        <v>761</v>
      </c>
      <c r="B80" s="696">
        <f>B12+B28+B44+B60</f>
        <v>141660</v>
      </c>
      <c r="C80" s="668"/>
      <c r="D80" s="697"/>
      <c r="E80" s="668"/>
      <c r="F80" s="668" t="s">
        <v>761</v>
      </c>
      <c r="G80" s="696">
        <f>G12+G28+G44+G60</f>
        <v>77400</v>
      </c>
      <c r="H80" s="668"/>
      <c r="I80" s="697"/>
      <c r="J80" s="668"/>
      <c r="K80" s="668" t="s">
        <v>761</v>
      </c>
      <c r="L80" s="696">
        <f>L12+L28+L44+L60</f>
        <v>198324</v>
      </c>
      <c r="M80" s="668"/>
      <c r="N80" s="697"/>
      <c r="O80" s="668"/>
      <c r="P80" s="668" t="s">
        <v>761</v>
      </c>
      <c r="Q80" s="696">
        <f>Q12+Q28+Q44+Q60</f>
        <v>108360</v>
      </c>
      <c r="R80" s="668"/>
      <c r="S80" s="697"/>
      <c r="U80" s="668" t="s">
        <v>761</v>
      </c>
      <c r="V80" s="696">
        <f>V12+V28+V44+V60</f>
        <v>267772</v>
      </c>
      <c r="W80" s="668"/>
      <c r="X80" s="697"/>
      <c r="Z80" s="668" t="s">
        <v>761</v>
      </c>
      <c r="AA80" s="696">
        <f>AA12+AA28+AA44+AA60</f>
        <v>146388</v>
      </c>
      <c r="AB80" s="668"/>
      <c r="AC80" s="697"/>
      <c r="AE80" s="668" t="s">
        <v>761</v>
      </c>
      <c r="AF80" s="696">
        <f>AF12+AF28+AF44+AF60</f>
        <v>347966</v>
      </c>
      <c r="AG80" s="668"/>
      <c r="AH80" s="697"/>
      <c r="AJ80" s="668" t="s">
        <v>761</v>
      </c>
      <c r="AK80" s="696">
        <f>AK12+AK28+AK44+AK60</f>
        <v>190364</v>
      </c>
      <c r="AL80" s="668"/>
      <c r="AM80" s="697"/>
      <c r="AO80" s="668" t="s">
        <v>761</v>
      </c>
      <c r="AP80" s="696">
        <f>AP12+AP28+AP44+AP60</f>
        <v>500</v>
      </c>
      <c r="AQ80" s="668"/>
      <c r="AR80" s="697"/>
    </row>
    <row r="81" spans="1:68">
      <c r="A81" s="668" t="s">
        <v>144</v>
      </c>
      <c r="B81" s="696">
        <f>B9+B41+B25+B57+B71</f>
        <v>40060</v>
      </c>
      <c r="C81" s="668"/>
      <c r="D81" s="697"/>
      <c r="E81" s="668"/>
      <c r="F81" s="668" t="s">
        <v>144</v>
      </c>
      <c r="G81" s="696">
        <f>G9+G41+G25+G57+G71</f>
        <v>12200</v>
      </c>
      <c r="H81" s="668"/>
      <c r="I81" s="697"/>
      <c r="J81" s="668"/>
      <c r="K81" s="668" t="s">
        <v>144</v>
      </c>
      <c r="L81" s="696">
        <f>L9+L41+L25+L57+L71</f>
        <v>56084</v>
      </c>
      <c r="M81" s="668"/>
      <c r="N81" s="697"/>
      <c r="O81" s="668"/>
      <c r="P81" s="668" t="s">
        <v>144</v>
      </c>
      <c r="Q81" s="696">
        <f>Q9+Q41+Q25+Q57+Q71</f>
        <v>17080</v>
      </c>
      <c r="R81" s="668"/>
      <c r="S81" s="697"/>
      <c r="U81" s="668" t="s">
        <v>144</v>
      </c>
      <c r="V81" s="696">
        <f>V9+V41+V25+V57+V71</f>
        <v>75728</v>
      </c>
      <c r="W81" s="668"/>
      <c r="X81" s="697"/>
      <c r="Z81" s="668" t="s">
        <v>144</v>
      </c>
      <c r="AA81" s="696">
        <f>AA9+AA41+AA25+AA57+AA71</f>
        <v>23074</v>
      </c>
      <c r="AB81" s="668"/>
      <c r="AC81" s="697"/>
      <c r="AE81" s="668" t="s">
        <v>144</v>
      </c>
      <c r="AF81" s="696">
        <f>AF9+AF41+AF25+AF57+AF71</f>
        <v>98418</v>
      </c>
      <c r="AG81" s="668"/>
      <c r="AH81" s="697"/>
      <c r="AJ81" s="668" t="s">
        <v>144</v>
      </c>
      <c r="AK81" s="696">
        <f>AK9+AK41+AK25+AK57+AK71</f>
        <v>30002</v>
      </c>
      <c r="AL81" s="668"/>
      <c r="AM81" s="697"/>
      <c r="AO81" s="668" t="s">
        <v>144</v>
      </c>
      <c r="AP81" s="696">
        <f>AP9+AP41+AP25+AP57+AP71</f>
        <v>500</v>
      </c>
      <c r="AQ81" s="668"/>
      <c r="AR81" s="697"/>
    </row>
    <row r="82" spans="1:68">
      <c r="A82" s="668" t="s">
        <v>140</v>
      </c>
      <c r="B82" s="696">
        <f>B7+B23+B39+B55</f>
        <v>1870</v>
      </c>
      <c r="C82" s="668"/>
      <c r="D82" s="698"/>
      <c r="E82" s="668"/>
      <c r="F82" s="668" t="s">
        <v>140</v>
      </c>
      <c r="G82" s="696">
        <f>G7+G23+G39+G55</f>
        <v>900</v>
      </c>
      <c r="H82" s="668"/>
      <c r="I82" s="698"/>
      <c r="J82" s="668"/>
      <c r="K82" s="668" t="s">
        <v>140</v>
      </c>
      <c r="L82" s="696">
        <f>L7+L23+L39+L55</f>
        <v>2618</v>
      </c>
      <c r="M82" s="668"/>
      <c r="N82" s="698"/>
      <c r="O82" s="668"/>
      <c r="P82" s="668" t="s">
        <v>140</v>
      </c>
      <c r="Q82" s="696">
        <f>Q7+Q23+Q39+Q55</f>
        <v>1260</v>
      </c>
      <c r="U82" s="668" t="s">
        <v>140</v>
      </c>
      <c r="V82" s="696">
        <f>V7+V23+V39+V55</f>
        <v>3535</v>
      </c>
      <c r="Z82" s="668" t="s">
        <v>140</v>
      </c>
      <c r="AA82" s="696">
        <f>AA7+AA23+AA39+AA55</f>
        <v>1702</v>
      </c>
      <c r="AE82" s="668" t="s">
        <v>140</v>
      </c>
      <c r="AF82" s="696">
        <f>AF7+AF23+AF39+AF55</f>
        <v>4594</v>
      </c>
      <c r="AJ82" s="668" t="s">
        <v>140</v>
      </c>
      <c r="AK82" s="696">
        <f>AK7+AK23+AK39+AK55</f>
        <v>2213</v>
      </c>
      <c r="AO82" s="668" t="s">
        <v>140</v>
      </c>
      <c r="AP82" s="696">
        <f>AP7+AP23+AP39+AP55</f>
        <v>250</v>
      </c>
    </row>
    <row r="83" spans="1:68" ht="16" thickBot="1"/>
    <row r="84" spans="1:68">
      <c r="A84" s="573"/>
      <c r="B84" s="574"/>
      <c r="C84" s="574"/>
      <c r="D84" s="575"/>
      <c r="F84" s="573"/>
      <c r="G84" s="574"/>
      <c r="H84" s="574"/>
      <c r="I84" s="575"/>
      <c r="K84" s="573"/>
      <c r="L84" s="574"/>
      <c r="M84" s="574"/>
      <c r="N84" s="575"/>
      <c r="P84" s="573"/>
      <c r="Q84" s="574"/>
      <c r="R84" s="574"/>
      <c r="S84" s="575"/>
      <c r="U84" s="573"/>
      <c r="V84" s="574"/>
      <c r="W84" s="574"/>
      <c r="X84" s="575"/>
      <c r="Z84" s="573"/>
      <c r="AA84" s="574"/>
      <c r="AB84" s="574"/>
      <c r="AC84" s="575"/>
      <c r="AE84" s="573"/>
      <c r="AF84" s="574"/>
      <c r="AG84" s="574"/>
      <c r="AH84" s="575"/>
      <c r="AJ84" s="573"/>
      <c r="AK84" s="574"/>
      <c r="AL84" s="574"/>
      <c r="AM84" s="575"/>
      <c r="AO84" s="573"/>
      <c r="AP84" s="574"/>
      <c r="AQ84" s="574"/>
      <c r="AR84" s="575"/>
    </row>
    <row r="85" spans="1:68">
      <c r="A85" s="576" t="s">
        <v>18</v>
      </c>
      <c r="B85" s="577"/>
      <c r="C85" s="699">
        <f>D18+D34+D50+D66+D77</f>
        <v>1117999.3999999999</v>
      </c>
      <c r="D85" s="579"/>
      <c r="F85" s="576" t="s">
        <v>18</v>
      </c>
      <c r="G85" s="577"/>
      <c r="H85" s="699">
        <f>I18+I34+I50+I66+I77</f>
        <v>874878</v>
      </c>
      <c r="I85" s="579"/>
      <c r="K85" s="576" t="s">
        <v>18</v>
      </c>
      <c r="L85" s="577"/>
      <c r="M85" s="699">
        <f>N18+N34+N50+N66+N77</f>
        <v>1565199.16</v>
      </c>
      <c r="N85" s="579"/>
      <c r="P85" s="576" t="s">
        <v>18</v>
      </c>
      <c r="Q85" s="577"/>
      <c r="R85" s="699">
        <f>S18+S34+S50+S66+S77</f>
        <v>1224829.2</v>
      </c>
      <c r="S85" s="579"/>
      <c r="U85" s="576" t="s">
        <v>18</v>
      </c>
      <c r="V85" s="577"/>
      <c r="W85" s="699">
        <f>X18+X34+X50+X66+X77</f>
        <v>2113362.7199999997</v>
      </c>
      <c r="X85" s="579"/>
      <c r="Z85" s="576" t="s">
        <v>18</v>
      </c>
      <c r="AA85" s="577"/>
      <c r="AB85" s="699">
        <f>AC18+AC34+AC50+AC66+AC77</f>
        <v>1654669.26</v>
      </c>
      <c r="AC85" s="579"/>
      <c r="AE85" s="576" t="s">
        <v>18</v>
      </c>
      <c r="AF85" s="577"/>
      <c r="AG85" s="699">
        <f>AH18+AH34+AH50+AH66+AH77</f>
        <v>2746335.82</v>
      </c>
      <c r="AH85" s="579"/>
      <c r="AJ85" s="576" t="s">
        <v>18</v>
      </c>
      <c r="AK85" s="577"/>
      <c r="AL85" s="699">
        <f>AM18+AM34+AM50+AM66+AM77</f>
        <v>2151799.98</v>
      </c>
      <c r="AM85" s="579"/>
      <c r="AO85" s="576" t="s">
        <v>18</v>
      </c>
      <c r="AP85" s="577"/>
      <c r="AQ85" s="699">
        <f>AR18+AR34+AR50+AR66+AR77</f>
        <v>249995</v>
      </c>
      <c r="AR85" s="579"/>
    </row>
    <row r="86" spans="1:68">
      <c r="A86" s="580" t="s">
        <v>728</v>
      </c>
      <c r="B86" s="700">
        <f>C86/C85</f>
        <v>0.51931843612796214</v>
      </c>
      <c r="C86" s="701">
        <f>C18+C34+C50+C66+C77</f>
        <v>580597.69999999995</v>
      </c>
      <c r="D86" s="579"/>
      <c r="F86" s="580" t="s">
        <v>728</v>
      </c>
      <c r="G86" s="700">
        <f>H86/H85</f>
        <v>0.57200603969924946</v>
      </c>
      <c r="H86" s="701">
        <f>H18+H34+H50+H66+H77</f>
        <v>500435.5</v>
      </c>
      <c r="I86" s="579"/>
      <c r="K86" s="580" t="s">
        <v>728</v>
      </c>
      <c r="L86" s="700">
        <f>M86/M85</f>
        <v>0.51931843612796214</v>
      </c>
      <c r="M86" s="701">
        <f>M18+M34+M50+M66+M77</f>
        <v>812836.78</v>
      </c>
      <c r="N86" s="579"/>
      <c r="P86" s="580" t="s">
        <v>728</v>
      </c>
      <c r="Q86" s="700">
        <f>L86</f>
        <v>0.51931843612796214</v>
      </c>
      <c r="R86" s="701">
        <f>R18+R34+R50+R66+R77</f>
        <v>700609.7</v>
      </c>
      <c r="S86" s="579"/>
      <c r="U86" s="580" t="s">
        <v>728</v>
      </c>
      <c r="V86" s="700">
        <f>Q86</f>
        <v>0.51931843612796214</v>
      </c>
      <c r="W86" s="701">
        <f>W18+W34+W50+W66+W77</f>
        <v>1097501.58</v>
      </c>
      <c r="X86" s="579"/>
      <c r="Z86" s="580" t="s">
        <v>728</v>
      </c>
      <c r="AA86" s="700">
        <f>V86</f>
        <v>0.51931843612796214</v>
      </c>
      <c r="AB86" s="701">
        <f>AB18+AB34+AB50+AB66+AB77</f>
        <v>946488.01</v>
      </c>
      <c r="AC86" s="579"/>
      <c r="AE86" s="580" t="s">
        <v>728</v>
      </c>
      <c r="AF86" s="700">
        <f>AA86</f>
        <v>0.51931843612796214</v>
      </c>
      <c r="AG86" s="701">
        <f>AG18+AG34+AG50+AG66+AG77</f>
        <v>1426191</v>
      </c>
      <c r="AH86" s="579"/>
      <c r="AJ86" s="580" t="s">
        <v>728</v>
      </c>
      <c r="AK86" s="700">
        <f>AF86</f>
        <v>0.51931843612796214</v>
      </c>
      <c r="AL86" s="701">
        <f>AL18+AL34+AL50+AL66+AL77</f>
        <v>1230871.3799999999</v>
      </c>
      <c r="AM86" s="579"/>
      <c r="AO86" s="580" t="s">
        <v>728</v>
      </c>
      <c r="AP86" s="700">
        <f>AK86</f>
        <v>0.51931843612796214</v>
      </c>
      <c r="AQ86" s="701">
        <f>AQ18+AQ34+AQ50+AQ66+AQ77</f>
        <v>149997.5</v>
      </c>
      <c r="AR86" s="579"/>
    </row>
    <row r="87" spans="1:68">
      <c r="A87" s="580" t="s">
        <v>870</v>
      </c>
      <c r="B87" s="700">
        <f>'Ted Inputs'!G12</f>
        <v>0.05</v>
      </c>
      <c r="C87" s="701">
        <f>-ROUND(C86*B87,2)</f>
        <v>-29029.89</v>
      </c>
      <c r="D87" s="579"/>
      <c r="F87" s="580" t="s">
        <v>870</v>
      </c>
      <c r="G87" s="700">
        <f>'Ted Inputs'!G12</f>
        <v>0.05</v>
      </c>
      <c r="H87" s="701">
        <f>-ROUND(H86*G87,2)</f>
        <v>-25021.78</v>
      </c>
      <c r="I87" s="579"/>
      <c r="K87" s="580" t="s">
        <v>870</v>
      </c>
      <c r="L87" s="700">
        <f>B87</f>
        <v>0.05</v>
      </c>
      <c r="M87" s="701">
        <f>-ROUND(M86*L87,2)</f>
        <v>-40641.839999999997</v>
      </c>
      <c r="N87" s="579"/>
      <c r="P87" s="580" t="s">
        <v>870</v>
      </c>
      <c r="Q87" s="700">
        <f>L87</f>
        <v>0.05</v>
      </c>
      <c r="R87" s="701">
        <f>-ROUND(R86*Q87,2)</f>
        <v>-35030.49</v>
      </c>
      <c r="S87" s="579"/>
      <c r="U87" s="580" t="s">
        <v>870</v>
      </c>
      <c r="V87" s="700">
        <f>Q87</f>
        <v>0.05</v>
      </c>
      <c r="W87" s="701">
        <f>-ROUND(W86*V87,2)</f>
        <v>-54875.08</v>
      </c>
      <c r="X87" s="579"/>
      <c r="Z87" s="580" t="s">
        <v>870</v>
      </c>
      <c r="AA87" s="700">
        <f>V87</f>
        <v>0.05</v>
      </c>
      <c r="AB87" s="701">
        <f>-ROUND(AB86*AA87,2)</f>
        <v>-47324.4</v>
      </c>
      <c r="AC87" s="579"/>
      <c r="AE87" s="580" t="s">
        <v>870</v>
      </c>
      <c r="AF87" s="700">
        <f>AA87</f>
        <v>0.05</v>
      </c>
      <c r="AG87" s="701">
        <f>-ROUND(AG86*AF87,2)</f>
        <v>-71309.55</v>
      </c>
      <c r="AH87" s="579"/>
      <c r="AJ87" s="580" t="s">
        <v>870</v>
      </c>
      <c r="AK87" s="700">
        <f>AF87</f>
        <v>0.05</v>
      </c>
      <c r="AL87" s="701">
        <f>-ROUND(AL86*AK87,2)</f>
        <v>-61543.57</v>
      </c>
      <c r="AM87" s="579"/>
      <c r="AO87" s="580" t="s">
        <v>870</v>
      </c>
      <c r="AP87" s="700">
        <f>AK87</f>
        <v>0.05</v>
      </c>
      <c r="AQ87" s="701">
        <f>-ROUND(AQ86*AP87,2)</f>
        <v>-7499.88</v>
      </c>
      <c r="AR87" s="579"/>
    </row>
    <row r="88" spans="1:68">
      <c r="A88" s="580" t="s">
        <v>730</v>
      </c>
      <c r="B88" s="700"/>
      <c r="C88" s="702">
        <f>C86+C87</f>
        <v>551567.80999999994</v>
      </c>
      <c r="D88" s="579"/>
      <c r="F88" s="580" t="s">
        <v>730</v>
      </c>
      <c r="G88" s="700"/>
      <c r="H88" s="702">
        <f>H86+H87</f>
        <v>475413.72</v>
      </c>
      <c r="I88" s="579"/>
      <c r="K88" s="580" t="s">
        <v>730</v>
      </c>
      <c r="L88" s="700"/>
      <c r="M88" s="702">
        <f>M86+M87</f>
        <v>772194.94000000006</v>
      </c>
      <c r="N88" s="579"/>
      <c r="P88" s="580" t="s">
        <v>730</v>
      </c>
      <c r="Q88" s="700"/>
      <c r="R88" s="702">
        <f>R86+R87</f>
        <v>665579.21</v>
      </c>
      <c r="S88" s="579"/>
      <c r="U88" s="580" t="s">
        <v>730</v>
      </c>
      <c r="V88" s="700"/>
      <c r="W88" s="702">
        <f>W86+W87</f>
        <v>1042626.5000000001</v>
      </c>
      <c r="X88" s="579"/>
      <c r="Z88" s="580" t="s">
        <v>730</v>
      </c>
      <c r="AA88" s="700"/>
      <c r="AB88" s="702">
        <f>AB86+AB87</f>
        <v>899163.61</v>
      </c>
      <c r="AC88" s="579"/>
      <c r="AE88" s="580" t="s">
        <v>730</v>
      </c>
      <c r="AF88" s="700"/>
      <c r="AG88" s="702">
        <f>AG86+AG87</f>
        <v>1354881.45</v>
      </c>
      <c r="AH88" s="579"/>
      <c r="AJ88" s="580" t="s">
        <v>730</v>
      </c>
      <c r="AK88" s="700"/>
      <c r="AL88" s="702">
        <f>AL86+AL87</f>
        <v>1169327.8099999998</v>
      </c>
      <c r="AM88" s="579"/>
      <c r="AO88" s="580" t="s">
        <v>730</v>
      </c>
      <c r="AP88" s="700"/>
      <c r="AQ88" s="702">
        <f>AQ86+AQ87</f>
        <v>142497.62</v>
      </c>
      <c r="AR88" s="579"/>
    </row>
    <row r="89" spans="1:68">
      <c r="A89" s="580" t="s">
        <v>729</v>
      </c>
      <c r="B89" s="700">
        <f>'Ted Inputs'!G14</f>
        <v>0.5</v>
      </c>
      <c r="C89" s="701">
        <f>-ROUND(C88*B89,2)</f>
        <v>-275783.90999999997</v>
      </c>
      <c r="D89" s="584"/>
      <c r="F89" s="580" t="s">
        <v>729</v>
      </c>
      <c r="G89" s="700">
        <f>'Ted Inputs'!G14</f>
        <v>0.5</v>
      </c>
      <c r="H89" s="701">
        <f>-ROUND(H88*G89,2)</f>
        <v>-237706.86</v>
      </c>
      <c r="I89" s="584"/>
      <c r="K89" s="580" t="s">
        <v>729</v>
      </c>
      <c r="L89" s="700">
        <f>B89</f>
        <v>0.5</v>
      </c>
      <c r="M89" s="701">
        <f>-ROUND(M88*L89,2)</f>
        <v>-386097.47</v>
      </c>
      <c r="N89" s="584"/>
      <c r="P89" s="580" t="s">
        <v>729</v>
      </c>
      <c r="Q89" s="700">
        <f>L89</f>
        <v>0.5</v>
      </c>
      <c r="R89" s="701">
        <f>-ROUND(R88*Q89,2)</f>
        <v>-332789.61</v>
      </c>
      <c r="S89" s="584"/>
      <c r="U89" s="580" t="s">
        <v>729</v>
      </c>
      <c r="V89" s="700">
        <f>Q89</f>
        <v>0.5</v>
      </c>
      <c r="W89" s="701">
        <f>-ROUND(W88*V89,2)</f>
        <v>-521313.25</v>
      </c>
      <c r="X89" s="584"/>
      <c r="Z89" s="580" t="s">
        <v>729</v>
      </c>
      <c r="AA89" s="700">
        <f>V89</f>
        <v>0.5</v>
      </c>
      <c r="AB89" s="701">
        <f>-ROUND(AB88*AA89,2)</f>
        <v>-449581.81</v>
      </c>
      <c r="AC89" s="584"/>
      <c r="AE89" s="580" t="s">
        <v>729</v>
      </c>
      <c r="AF89" s="700">
        <f>AA89</f>
        <v>0.5</v>
      </c>
      <c r="AG89" s="701">
        <f>-ROUND(AG88*AF89,2)</f>
        <v>-677440.73</v>
      </c>
      <c r="AH89" s="584"/>
      <c r="AJ89" s="580" t="s">
        <v>729</v>
      </c>
      <c r="AK89" s="700">
        <f>AF89</f>
        <v>0.5</v>
      </c>
      <c r="AL89" s="701">
        <f>-ROUND(AL88*AK89,2)</f>
        <v>-584663.91</v>
      </c>
      <c r="AM89" s="584"/>
      <c r="AO89" s="580" t="s">
        <v>729</v>
      </c>
      <c r="AP89" s="700">
        <f>AK89</f>
        <v>0.5</v>
      </c>
      <c r="AQ89" s="701">
        <f>-ROUND(AQ88*AP89,2)</f>
        <v>-71248.81</v>
      </c>
      <c r="AR89" s="584"/>
    </row>
    <row r="90" spans="1:68" ht="16" thickBot="1">
      <c r="A90" s="580" t="s">
        <v>5</v>
      </c>
      <c r="B90" s="585"/>
      <c r="C90" s="703">
        <f>SUM(C88:C89)</f>
        <v>275783.89999999997</v>
      </c>
      <c r="D90" s="579"/>
      <c r="F90" s="580" t="s">
        <v>5</v>
      </c>
      <c r="G90" s="585"/>
      <c r="H90" s="703">
        <f>SUM(H88:H89)</f>
        <v>237706.86</v>
      </c>
      <c r="I90" s="579"/>
      <c r="K90" s="580" t="s">
        <v>5</v>
      </c>
      <c r="L90" s="585"/>
      <c r="M90" s="703">
        <f>SUM(M88:M89)</f>
        <v>386097.47000000009</v>
      </c>
      <c r="N90" s="579"/>
      <c r="P90" s="580" t="s">
        <v>5</v>
      </c>
      <c r="Q90" s="585"/>
      <c r="R90" s="703">
        <f>SUM(R88:R89)</f>
        <v>332789.59999999998</v>
      </c>
      <c r="S90" s="579"/>
      <c r="U90" s="580" t="s">
        <v>5</v>
      </c>
      <c r="V90" s="585"/>
      <c r="W90" s="703">
        <f>SUM(W88:W89)</f>
        <v>521313.25000000012</v>
      </c>
      <c r="X90" s="579"/>
      <c r="Z90" s="580" t="s">
        <v>5</v>
      </c>
      <c r="AA90" s="585"/>
      <c r="AB90" s="703">
        <f>SUM(AB88:AB89)</f>
        <v>449581.8</v>
      </c>
      <c r="AC90" s="579"/>
      <c r="AE90" s="580" t="s">
        <v>5</v>
      </c>
      <c r="AF90" s="585"/>
      <c r="AG90" s="703">
        <f>SUM(AG88:AG89)</f>
        <v>677440.72</v>
      </c>
      <c r="AH90" s="579"/>
      <c r="AJ90" s="580" t="s">
        <v>5</v>
      </c>
      <c r="AK90" s="585"/>
      <c r="AL90" s="703">
        <f>SUM(AL88:AL89)</f>
        <v>584663.89999999979</v>
      </c>
      <c r="AM90" s="579"/>
      <c r="AO90" s="580" t="s">
        <v>5</v>
      </c>
      <c r="AP90" s="585"/>
      <c r="AQ90" s="703">
        <f>SUM(AQ88:AQ89)</f>
        <v>71248.81</v>
      </c>
      <c r="AR90" s="579"/>
    </row>
    <row r="91" spans="1:68" ht="17" thickTop="1" thickBot="1">
      <c r="A91" s="587"/>
      <c r="B91" s="588"/>
      <c r="C91" s="588"/>
      <c r="D91" s="589"/>
      <c r="F91" s="587"/>
      <c r="G91" s="588"/>
      <c r="H91" s="588"/>
      <c r="I91" s="589"/>
      <c r="K91" s="587"/>
      <c r="L91" s="588"/>
      <c r="M91" s="588"/>
      <c r="N91" s="589"/>
      <c r="P91" s="587"/>
      <c r="Q91" s="588"/>
      <c r="R91" s="588"/>
      <c r="S91" s="589"/>
      <c r="U91" s="587"/>
      <c r="V91" s="588"/>
      <c r="W91" s="588"/>
      <c r="X91" s="589"/>
      <c r="Z91" s="587"/>
      <c r="AA91" s="588"/>
      <c r="AB91" s="588"/>
      <c r="AC91" s="589"/>
      <c r="AE91" s="587"/>
      <c r="AF91" s="588"/>
      <c r="AG91" s="588"/>
      <c r="AH91" s="589"/>
      <c r="AJ91" s="587"/>
      <c r="AK91" s="588"/>
      <c r="AL91" s="588"/>
      <c r="AM91" s="589"/>
      <c r="AO91" s="587"/>
      <c r="AP91" s="588"/>
      <c r="AQ91" s="588"/>
      <c r="AR91" s="589"/>
    </row>
    <row r="92" spans="1:68">
      <c r="A92" s="543"/>
      <c r="B92" s="556"/>
      <c r="C92" s="556"/>
      <c r="D92" s="543"/>
      <c r="F92" s="543"/>
      <c r="G92" s="556"/>
      <c r="H92" s="556"/>
      <c r="I92" s="543"/>
      <c r="K92" s="543"/>
      <c r="L92" s="556"/>
      <c r="M92" s="556"/>
      <c r="N92" s="543"/>
      <c r="P92" s="543"/>
      <c r="Q92" s="556"/>
      <c r="R92" s="556"/>
      <c r="S92" s="543"/>
      <c r="U92" s="543"/>
      <c r="V92" s="556"/>
      <c r="W92" s="556"/>
      <c r="X92" s="543"/>
      <c r="Z92" s="543"/>
      <c r="AA92" s="556"/>
      <c r="AB92" s="556"/>
      <c r="AC92" s="543"/>
      <c r="AE92" s="543"/>
      <c r="AF92" s="556"/>
      <c r="AG92" s="556"/>
      <c r="AH92" s="543"/>
      <c r="AJ92" s="543"/>
      <c r="AK92" s="556"/>
      <c r="AL92" s="556"/>
      <c r="AM92" s="543"/>
      <c r="AO92" s="543"/>
      <c r="AP92" s="556"/>
      <c r="AQ92" s="556"/>
      <c r="AR92" s="543"/>
    </row>
    <row r="93" spans="1:68">
      <c r="J93" s="677"/>
      <c r="K93" s="677"/>
      <c r="L93" s="677"/>
      <c r="M93" s="677"/>
      <c r="P93" s="677"/>
    </row>
    <row r="94" spans="1:68" ht="16" thickBot="1">
      <c r="I94" s="677"/>
      <c r="J94" s="677"/>
      <c r="K94" s="677"/>
      <c r="L94" s="677"/>
      <c r="M94" s="677" t="s">
        <v>1040</v>
      </c>
      <c r="N94" s="677"/>
      <c r="P94" s="677"/>
    </row>
    <row r="95" spans="1:68" ht="13.5" customHeight="1">
      <c r="A95" s="704"/>
      <c r="B95" s="704"/>
      <c r="C95" s="705">
        <v>46023</v>
      </c>
      <c r="D95" s="705">
        <v>46054</v>
      </c>
      <c r="E95" s="705">
        <v>46082</v>
      </c>
      <c r="F95" s="705">
        <v>46113</v>
      </c>
      <c r="G95" s="705">
        <v>46143</v>
      </c>
      <c r="H95" s="705">
        <v>46174</v>
      </c>
      <c r="I95" s="705">
        <v>46204</v>
      </c>
      <c r="J95" s="705">
        <v>46235</v>
      </c>
      <c r="K95" s="705">
        <v>46266</v>
      </c>
      <c r="L95" s="705">
        <v>46296</v>
      </c>
      <c r="M95" s="705">
        <v>46327</v>
      </c>
      <c r="N95" s="705">
        <v>46357</v>
      </c>
      <c r="O95" s="704">
        <v>2026</v>
      </c>
      <c r="P95" s="705">
        <v>46388</v>
      </c>
      <c r="Q95" s="705">
        <v>46419</v>
      </c>
      <c r="R95" s="705">
        <v>46447</v>
      </c>
      <c r="S95" s="705">
        <v>46478</v>
      </c>
      <c r="T95" s="705">
        <v>46508</v>
      </c>
      <c r="U95" s="705">
        <v>46539</v>
      </c>
      <c r="V95" s="705">
        <v>46569</v>
      </c>
      <c r="W95" s="705">
        <v>46600</v>
      </c>
      <c r="X95" s="705">
        <v>46631</v>
      </c>
      <c r="Y95" s="705">
        <v>46661</v>
      </c>
      <c r="Z95" s="705">
        <v>46692</v>
      </c>
      <c r="AA95" s="705">
        <v>46722</v>
      </c>
      <c r="AB95" s="704">
        <v>2027</v>
      </c>
      <c r="AC95" s="705">
        <v>46753</v>
      </c>
      <c r="AD95" s="705">
        <v>46784</v>
      </c>
      <c r="AE95" s="705">
        <v>46813</v>
      </c>
      <c r="AF95" s="705">
        <v>46844</v>
      </c>
      <c r="AG95" s="705">
        <v>46874</v>
      </c>
      <c r="AH95" s="705">
        <v>46905</v>
      </c>
      <c r="AI95" s="705">
        <v>46935</v>
      </c>
      <c r="AJ95" s="705">
        <v>46966</v>
      </c>
      <c r="AK95" s="705">
        <v>46997</v>
      </c>
      <c r="AL95" s="705">
        <v>47027</v>
      </c>
      <c r="AM95" s="705">
        <v>47058</v>
      </c>
      <c r="AN95" s="705">
        <v>47088</v>
      </c>
      <c r="AO95" s="704">
        <v>2028</v>
      </c>
      <c r="AP95" s="705">
        <v>47119</v>
      </c>
      <c r="AQ95" s="705">
        <v>47150</v>
      </c>
      <c r="AR95" s="705">
        <v>47178</v>
      </c>
      <c r="AS95" s="705">
        <v>47209</v>
      </c>
      <c r="AT95" s="705">
        <v>47239</v>
      </c>
      <c r="AU95" s="705">
        <v>47270</v>
      </c>
      <c r="AV95" s="705">
        <v>47300</v>
      </c>
      <c r="AW95" s="705">
        <v>47331</v>
      </c>
      <c r="AX95" s="705">
        <v>47362</v>
      </c>
      <c r="AY95" s="705">
        <v>47392</v>
      </c>
      <c r="AZ95" s="705">
        <v>47423</v>
      </c>
      <c r="BA95" s="705">
        <v>47453</v>
      </c>
      <c r="BB95" s="706">
        <v>2029</v>
      </c>
      <c r="BC95" s="705">
        <v>47484</v>
      </c>
      <c r="BD95" s="705">
        <v>47515</v>
      </c>
      <c r="BE95" s="705">
        <v>47543</v>
      </c>
      <c r="BF95" s="705">
        <v>47574</v>
      </c>
      <c r="BG95" s="705">
        <v>47604</v>
      </c>
      <c r="BH95" s="705">
        <v>47635</v>
      </c>
      <c r="BI95" s="705">
        <v>47665</v>
      </c>
      <c r="BJ95" s="705">
        <v>47696</v>
      </c>
      <c r="BK95" s="705">
        <v>47727</v>
      </c>
      <c r="BL95" s="705">
        <v>47757</v>
      </c>
      <c r="BM95" s="705">
        <v>47788</v>
      </c>
      <c r="BN95" s="705">
        <v>47818</v>
      </c>
      <c r="BO95" s="706">
        <v>2030</v>
      </c>
      <c r="BP95" s="707"/>
    </row>
    <row r="96" spans="1:68" ht="13.5" customHeight="1">
      <c r="A96" s="708"/>
      <c r="B96" s="708"/>
      <c r="C96" s="709" t="s">
        <v>49</v>
      </c>
      <c r="D96" s="709" t="s">
        <v>50</v>
      </c>
      <c r="E96" s="709" t="s">
        <v>51</v>
      </c>
      <c r="F96" s="709" t="s">
        <v>52</v>
      </c>
      <c r="G96" s="709" t="s">
        <v>53</v>
      </c>
      <c r="H96" s="709" t="s">
        <v>54</v>
      </c>
      <c r="I96" s="709" t="s">
        <v>55</v>
      </c>
      <c r="J96" s="709" t="s">
        <v>56</v>
      </c>
      <c r="K96" s="709" t="s">
        <v>57</v>
      </c>
      <c r="L96" s="709" t="s">
        <v>58</v>
      </c>
      <c r="M96" s="709" t="s">
        <v>59</v>
      </c>
      <c r="N96" s="709" t="s">
        <v>60</v>
      </c>
      <c r="O96" s="710" t="s">
        <v>65</v>
      </c>
      <c r="P96" s="709" t="s">
        <v>291</v>
      </c>
      <c r="Q96" s="709" t="s">
        <v>308</v>
      </c>
      <c r="R96" s="709" t="s">
        <v>309</v>
      </c>
      <c r="S96" s="709" t="s">
        <v>310</v>
      </c>
      <c r="T96" s="709" t="s">
        <v>311</v>
      </c>
      <c r="U96" s="709" t="s">
        <v>312</v>
      </c>
      <c r="V96" s="709" t="s">
        <v>313</v>
      </c>
      <c r="W96" s="709" t="s">
        <v>314</v>
      </c>
      <c r="X96" s="709" t="s">
        <v>315</v>
      </c>
      <c r="Y96" s="709" t="s">
        <v>316</v>
      </c>
      <c r="Z96" s="709" t="s">
        <v>317</v>
      </c>
      <c r="AA96" s="709" t="s">
        <v>318</v>
      </c>
      <c r="AB96" s="711" t="s">
        <v>121</v>
      </c>
      <c r="AC96" s="709" t="s">
        <v>319</v>
      </c>
      <c r="AD96" s="709" t="s">
        <v>320</v>
      </c>
      <c r="AE96" s="709" t="s">
        <v>321</v>
      </c>
      <c r="AF96" s="709" t="s">
        <v>322</v>
      </c>
      <c r="AG96" s="709" t="s">
        <v>323</v>
      </c>
      <c r="AH96" s="709" t="s">
        <v>324</v>
      </c>
      <c r="AI96" s="709" t="s">
        <v>325</v>
      </c>
      <c r="AJ96" s="709" t="s">
        <v>326</v>
      </c>
      <c r="AK96" s="709" t="s">
        <v>327</v>
      </c>
      <c r="AL96" s="709" t="s">
        <v>328</v>
      </c>
      <c r="AM96" s="709" t="s">
        <v>329</v>
      </c>
      <c r="AN96" s="709" t="s">
        <v>330</v>
      </c>
      <c r="AO96" s="711" t="s">
        <v>122</v>
      </c>
      <c r="AP96" s="712" t="s">
        <v>331</v>
      </c>
      <c r="AQ96" s="712" t="s">
        <v>332</v>
      </c>
      <c r="AR96" s="712" t="s">
        <v>333</v>
      </c>
      <c r="AS96" s="712" t="s">
        <v>334</v>
      </c>
      <c r="AT96" s="712" t="s">
        <v>335</v>
      </c>
      <c r="AU96" s="712" t="s">
        <v>336</v>
      </c>
      <c r="AV96" s="712" t="s">
        <v>337</v>
      </c>
      <c r="AW96" s="712" t="s">
        <v>338</v>
      </c>
      <c r="AX96" s="712" t="s">
        <v>339</v>
      </c>
      <c r="AY96" s="712" t="s">
        <v>340</v>
      </c>
      <c r="AZ96" s="712" t="s">
        <v>341</v>
      </c>
      <c r="BA96" s="712" t="s">
        <v>342</v>
      </c>
      <c r="BB96" s="711" t="s">
        <v>123</v>
      </c>
      <c r="BC96" s="712" t="s">
        <v>343</v>
      </c>
      <c r="BD96" s="712" t="s">
        <v>344</v>
      </c>
      <c r="BE96" s="712" t="s">
        <v>345</v>
      </c>
      <c r="BF96" s="712" t="s">
        <v>346</v>
      </c>
      <c r="BG96" s="712" t="s">
        <v>347</v>
      </c>
      <c r="BH96" s="712" t="s">
        <v>348</v>
      </c>
      <c r="BI96" s="712" t="s">
        <v>349</v>
      </c>
      <c r="BJ96" s="712" t="s">
        <v>350</v>
      </c>
      <c r="BK96" s="712" t="s">
        <v>351</v>
      </c>
      <c r="BL96" s="712" t="s">
        <v>352</v>
      </c>
      <c r="BM96" s="712" t="s">
        <v>353</v>
      </c>
      <c r="BN96" s="712" t="s">
        <v>354</v>
      </c>
      <c r="BO96" s="711" t="s">
        <v>124</v>
      </c>
      <c r="BP96" s="713" t="s">
        <v>125</v>
      </c>
    </row>
    <row r="97" spans="1:68" ht="13.5" customHeight="1">
      <c r="A97" s="714" t="s">
        <v>20</v>
      </c>
      <c r="B97" s="714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6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6"/>
      <c r="AC97" s="715"/>
      <c r="AD97" s="715"/>
      <c r="AE97" s="715"/>
      <c r="AF97" s="715"/>
      <c r="AG97" s="715"/>
      <c r="AH97" s="715"/>
      <c r="AI97" s="715"/>
      <c r="AJ97" s="715"/>
      <c r="AK97" s="715"/>
      <c r="AL97" s="715"/>
      <c r="AM97" s="715"/>
      <c r="AN97" s="715"/>
      <c r="AO97" s="716"/>
      <c r="AP97" s="717"/>
      <c r="AQ97" s="717"/>
      <c r="AR97" s="717"/>
      <c r="AS97" s="717"/>
      <c r="AT97" s="717"/>
      <c r="AU97" s="717"/>
      <c r="AV97" s="717"/>
      <c r="AW97" s="717"/>
      <c r="AX97" s="717"/>
      <c r="AY97" s="717"/>
      <c r="AZ97" s="717"/>
      <c r="BA97" s="717"/>
      <c r="BB97" s="718"/>
      <c r="BC97" s="717"/>
      <c r="BD97" s="717"/>
      <c r="BE97" s="717"/>
      <c r="BF97" s="717"/>
      <c r="BG97" s="717"/>
      <c r="BH97" s="717"/>
      <c r="BI97" s="717"/>
      <c r="BJ97" s="717"/>
      <c r="BK97" s="717"/>
      <c r="BL97" s="717"/>
      <c r="BM97" s="717"/>
      <c r="BN97" s="717"/>
      <c r="BO97" s="718"/>
      <c r="BP97" s="719"/>
    </row>
    <row r="98" spans="1:68" ht="13.5" customHeight="1" thickBot="1">
      <c r="A98" s="720" t="s">
        <v>871</v>
      </c>
      <c r="B98" s="721"/>
      <c r="C98" s="722">
        <v>0</v>
      </c>
      <c r="D98" s="722">
        <v>0</v>
      </c>
      <c r="E98" s="723">
        <v>0</v>
      </c>
      <c r="F98" s="722">
        <v>0</v>
      </c>
      <c r="G98" s="722">
        <v>0</v>
      </c>
      <c r="H98" s="722">
        <v>0</v>
      </c>
      <c r="I98" s="722">
        <v>0</v>
      </c>
      <c r="J98" s="976">
        <v>0</v>
      </c>
      <c r="K98" s="722">
        <v>0</v>
      </c>
      <c r="L98" s="723">
        <v>0</v>
      </c>
      <c r="M98" s="722">
        <v>0</v>
      </c>
      <c r="N98" s="722"/>
      <c r="O98" s="724">
        <f t="shared" ref="O98:O102" si="0">SUM(C98:N98)</f>
        <v>0</v>
      </c>
      <c r="P98" s="722">
        <v>0</v>
      </c>
      <c r="Q98" s="722">
        <v>0</v>
      </c>
      <c r="R98" s="722">
        <v>0</v>
      </c>
      <c r="S98" s="723">
        <v>0</v>
      </c>
      <c r="T98" s="722">
        <v>0</v>
      </c>
      <c r="U98" s="722">
        <v>0</v>
      </c>
      <c r="V98" s="722">
        <f>C88</f>
        <v>551567.80999999994</v>
      </c>
      <c r="W98" s="722">
        <v>0</v>
      </c>
      <c r="X98" s="723">
        <v>0</v>
      </c>
      <c r="Y98" s="722">
        <v>0</v>
      </c>
      <c r="Z98" s="722">
        <f>H88</f>
        <v>475413.72</v>
      </c>
      <c r="AA98" s="722">
        <v>0</v>
      </c>
      <c r="AB98" s="724">
        <f t="shared" ref="AB98:AB102" si="1">SUM(P98:AA98)</f>
        <v>1026981.5299999999</v>
      </c>
      <c r="AC98" s="722">
        <v>0</v>
      </c>
      <c r="AD98" s="722">
        <v>0</v>
      </c>
      <c r="AE98" s="723">
        <v>0</v>
      </c>
      <c r="AF98" s="722">
        <v>0</v>
      </c>
      <c r="AG98" s="722">
        <v>0</v>
      </c>
      <c r="AH98" s="722">
        <v>0</v>
      </c>
      <c r="AI98" s="722">
        <f>M88</f>
        <v>772194.94000000006</v>
      </c>
      <c r="AJ98" s="722">
        <v>0</v>
      </c>
      <c r="AK98" s="722">
        <v>0</v>
      </c>
      <c r="AL98" s="722">
        <v>0</v>
      </c>
      <c r="AM98" s="722">
        <f>R88</f>
        <v>665579.21</v>
      </c>
      <c r="AN98" s="722">
        <v>0</v>
      </c>
      <c r="AO98" s="724">
        <f>SUM(AC98:AN98)</f>
        <v>1437774.15</v>
      </c>
      <c r="AP98" s="722">
        <v>0</v>
      </c>
      <c r="AQ98" s="722">
        <v>0</v>
      </c>
      <c r="AR98" s="722">
        <v>0</v>
      </c>
      <c r="AS98" s="722">
        <v>0</v>
      </c>
      <c r="AT98" s="722">
        <v>0</v>
      </c>
      <c r="AU98" s="722">
        <v>0</v>
      </c>
      <c r="AV98" s="722">
        <f>W88</f>
        <v>1042626.5000000001</v>
      </c>
      <c r="AW98" s="722">
        <v>0</v>
      </c>
      <c r="AX98" s="722">
        <v>0</v>
      </c>
      <c r="AY98" s="722">
        <v>0</v>
      </c>
      <c r="AZ98" s="725">
        <f>AB88</f>
        <v>899163.61</v>
      </c>
      <c r="BA98" s="722">
        <v>0</v>
      </c>
      <c r="BB98" s="724">
        <f t="shared" ref="BB98:BB102" si="2">SUM(AP98:BA98)</f>
        <v>1941790.11</v>
      </c>
      <c r="BC98" s="722">
        <v>0</v>
      </c>
      <c r="BD98" s="722">
        <v>0</v>
      </c>
      <c r="BE98" s="722">
        <v>0</v>
      </c>
      <c r="BF98" s="722">
        <v>0</v>
      </c>
      <c r="BG98" s="722">
        <v>0</v>
      </c>
      <c r="BH98" s="722">
        <v>0</v>
      </c>
      <c r="BI98" s="722">
        <f>AG88</f>
        <v>1354881.45</v>
      </c>
      <c r="BJ98" s="722">
        <v>0</v>
      </c>
      <c r="BK98" s="722">
        <v>0</v>
      </c>
      <c r="BL98" s="722">
        <v>0</v>
      </c>
      <c r="BM98" s="725">
        <f>AL88</f>
        <v>1169327.8099999998</v>
      </c>
      <c r="BN98" s="722">
        <f>AQ88</f>
        <v>142497.62</v>
      </c>
      <c r="BO98" s="724">
        <f t="shared" ref="BO98:BO102" si="3">SUM(BC98:BN98)</f>
        <v>2666706.88</v>
      </c>
      <c r="BP98" s="726">
        <f>O98+AB98+AO98+BB98+BO98</f>
        <v>7073252.6699999999</v>
      </c>
    </row>
    <row r="99" spans="1:68" ht="13.5" customHeight="1" thickBot="1">
      <c r="A99" s="720" t="s">
        <v>72</v>
      </c>
      <c r="B99" s="721"/>
      <c r="C99" s="722"/>
      <c r="D99" s="722"/>
      <c r="E99" s="723">
        <v>0</v>
      </c>
      <c r="F99" s="722">
        <v>0</v>
      </c>
      <c r="G99" s="722">
        <v>0</v>
      </c>
      <c r="H99" s="722">
        <v>0</v>
      </c>
      <c r="I99" s="722">
        <v>0</v>
      </c>
      <c r="J99" s="722">
        <v>0</v>
      </c>
      <c r="K99" s="722">
        <v>0</v>
      </c>
      <c r="L99" s="722">
        <v>0</v>
      </c>
      <c r="M99" s="722">
        <v>0</v>
      </c>
      <c r="N99" s="722"/>
      <c r="O99" s="724">
        <f t="shared" si="0"/>
        <v>0</v>
      </c>
      <c r="P99" s="722">
        <v>0</v>
      </c>
      <c r="Q99" s="722"/>
      <c r="R99" s="722">
        <v>0</v>
      </c>
      <c r="S99" s="723">
        <v>0</v>
      </c>
      <c r="T99" s="722">
        <v>0</v>
      </c>
      <c r="U99" s="722">
        <v>0</v>
      </c>
      <c r="V99" s="722">
        <f>-C89</f>
        <v>275783.90999999997</v>
      </c>
      <c r="W99" s="722"/>
      <c r="X99" s="723">
        <v>0</v>
      </c>
      <c r="Y99" s="722">
        <v>0</v>
      </c>
      <c r="Z99" s="722">
        <f>-H89</f>
        <v>237706.86</v>
      </c>
      <c r="AA99" s="722">
        <v>0</v>
      </c>
      <c r="AB99" s="724">
        <f t="shared" si="1"/>
        <v>513490.76999999996</v>
      </c>
      <c r="AC99" s="722">
        <v>0</v>
      </c>
      <c r="AD99" s="722">
        <v>0</v>
      </c>
      <c r="AE99" s="723">
        <v>0</v>
      </c>
      <c r="AF99" s="722">
        <v>0</v>
      </c>
      <c r="AG99" s="722">
        <v>0</v>
      </c>
      <c r="AH99" s="722">
        <v>0</v>
      </c>
      <c r="AI99" s="722">
        <f>-M89</f>
        <v>386097.47</v>
      </c>
      <c r="AJ99" s="722"/>
      <c r="AK99" s="722"/>
      <c r="AL99" s="722">
        <v>0</v>
      </c>
      <c r="AM99" s="722">
        <f>-R89</f>
        <v>332789.61</v>
      </c>
      <c r="AN99" s="722"/>
      <c r="AO99" s="724">
        <f>SUM(AC99:AN99)</f>
        <v>718887.08</v>
      </c>
      <c r="AP99" s="722">
        <v>0</v>
      </c>
      <c r="AQ99" s="722">
        <v>0</v>
      </c>
      <c r="AR99" s="722"/>
      <c r="AS99" s="722">
        <v>0</v>
      </c>
      <c r="AT99" s="722"/>
      <c r="AU99" s="722"/>
      <c r="AV99" s="722">
        <f>-W89</f>
        <v>521313.25</v>
      </c>
      <c r="AW99" s="722"/>
      <c r="AX99" s="722"/>
      <c r="AY99" s="722">
        <v>0</v>
      </c>
      <c r="AZ99" s="725">
        <f>-AB89</f>
        <v>449581.81</v>
      </c>
      <c r="BA99" s="722"/>
      <c r="BB99" s="724">
        <f t="shared" si="2"/>
        <v>970895.06</v>
      </c>
      <c r="BC99" s="722">
        <v>0</v>
      </c>
      <c r="BD99" s="722"/>
      <c r="BE99" s="722"/>
      <c r="BF99" s="722"/>
      <c r="BG99" s="722"/>
      <c r="BH99" s="722"/>
      <c r="BI99" s="722">
        <f>-AG89</f>
        <v>677440.73</v>
      </c>
      <c r="BJ99" s="722"/>
      <c r="BK99" s="722"/>
      <c r="BL99" s="722">
        <v>0</v>
      </c>
      <c r="BM99" s="725">
        <f>-AL89</f>
        <v>584663.91</v>
      </c>
      <c r="BN99" s="722">
        <f>-AQ89</f>
        <v>71248.81</v>
      </c>
      <c r="BO99" s="724">
        <f t="shared" si="3"/>
        <v>1333353.4500000002</v>
      </c>
      <c r="BP99" s="726">
        <f>O99+AB99+AO99+BB99+BO99</f>
        <v>3536626.3600000003</v>
      </c>
    </row>
    <row r="100" spans="1:68" ht="13.5" customHeight="1" thickBot="1">
      <c r="A100" s="720" t="s">
        <v>73</v>
      </c>
      <c r="B100" s="727">
        <f>'Ted Inputs'!G13</f>
        <v>0.01</v>
      </c>
      <c r="C100" s="722">
        <f>C98*$B$100</f>
        <v>0</v>
      </c>
      <c r="D100" s="722">
        <f t="shared" ref="D100:N100" si="4">D98*$B$100</f>
        <v>0</v>
      </c>
      <c r="E100" s="722">
        <f t="shared" si="4"/>
        <v>0</v>
      </c>
      <c r="F100" s="722">
        <f t="shared" si="4"/>
        <v>0</v>
      </c>
      <c r="G100" s="722">
        <f t="shared" si="4"/>
        <v>0</v>
      </c>
      <c r="H100" s="722">
        <f t="shared" si="4"/>
        <v>0</v>
      </c>
      <c r="I100" s="722">
        <f t="shared" si="4"/>
        <v>0</v>
      </c>
      <c r="J100" s="722">
        <f t="shared" si="4"/>
        <v>0</v>
      </c>
      <c r="K100" s="722">
        <f t="shared" si="4"/>
        <v>0</v>
      </c>
      <c r="L100" s="722">
        <f t="shared" si="4"/>
        <v>0</v>
      </c>
      <c r="M100" s="722">
        <f t="shared" si="4"/>
        <v>0</v>
      </c>
      <c r="N100" s="722">
        <f t="shared" si="4"/>
        <v>0</v>
      </c>
      <c r="O100" s="724">
        <f t="shared" si="0"/>
        <v>0</v>
      </c>
      <c r="P100" s="722">
        <f>P98*$B$100</f>
        <v>0</v>
      </c>
      <c r="Q100" s="722">
        <f t="shared" ref="Q100:AA100" si="5">Q98*$B$100</f>
        <v>0</v>
      </c>
      <c r="R100" s="722">
        <f t="shared" si="5"/>
        <v>0</v>
      </c>
      <c r="S100" s="722">
        <f t="shared" si="5"/>
        <v>0</v>
      </c>
      <c r="T100" s="722">
        <f t="shared" si="5"/>
        <v>0</v>
      </c>
      <c r="U100" s="722">
        <f t="shared" si="5"/>
        <v>0</v>
      </c>
      <c r="V100" s="722">
        <f t="shared" si="5"/>
        <v>5515.6780999999992</v>
      </c>
      <c r="W100" s="722">
        <f t="shared" si="5"/>
        <v>0</v>
      </c>
      <c r="X100" s="722">
        <f t="shared" si="5"/>
        <v>0</v>
      </c>
      <c r="Y100" s="722">
        <f t="shared" si="5"/>
        <v>0</v>
      </c>
      <c r="Z100" s="722">
        <f t="shared" si="5"/>
        <v>4754.1372000000001</v>
      </c>
      <c r="AA100" s="722">
        <f t="shared" si="5"/>
        <v>0</v>
      </c>
      <c r="AB100" s="724">
        <f t="shared" si="1"/>
        <v>10269.815299999998</v>
      </c>
      <c r="AC100" s="722">
        <f>AC98*$B$100</f>
        <v>0</v>
      </c>
      <c r="AD100" s="722">
        <f t="shared" ref="AD100:AN100" si="6">AD98*$B$100</f>
        <v>0</v>
      </c>
      <c r="AE100" s="722">
        <f t="shared" si="6"/>
        <v>0</v>
      </c>
      <c r="AF100" s="722">
        <f t="shared" si="6"/>
        <v>0</v>
      </c>
      <c r="AG100" s="722">
        <f t="shared" si="6"/>
        <v>0</v>
      </c>
      <c r="AH100" s="722">
        <f t="shared" si="6"/>
        <v>0</v>
      </c>
      <c r="AI100" s="722">
        <f t="shared" si="6"/>
        <v>7721.9494000000004</v>
      </c>
      <c r="AJ100" s="722">
        <f t="shared" si="6"/>
        <v>0</v>
      </c>
      <c r="AK100" s="722">
        <f t="shared" si="6"/>
        <v>0</v>
      </c>
      <c r="AL100" s="722">
        <f t="shared" si="6"/>
        <v>0</v>
      </c>
      <c r="AM100" s="722">
        <f t="shared" si="6"/>
        <v>6655.7920999999997</v>
      </c>
      <c r="AN100" s="722">
        <f t="shared" si="6"/>
        <v>0</v>
      </c>
      <c r="AO100" s="724">
        <f>SUM(AC100:AN100)</f>
        <v>14377.7415</v>
      </c>
      <c r="AP100" s="722">
        <f>AP98*$B$100</f>
        <v>0</v>
      </c>
      <c r="AQ100" s="722">
        <f t="shared" ref="AQ100:BA100" si="7">AQ98*$B$100</f>
        <v>0</v>
      </c>
      <c r="AR100" s="722">
        <f t="shared" si="7"/>
        <v>0</v>
      </c>
      <c r="AS100" s="722">
        <f t="shared" si="7"/>
        <v>0</v>
      </c>
      <c r="AT100" s="722">
        <f t="shared" si="7"/>
        <v>0</v>
      </c>
      <c r="AU100" s="722">
        <f t="shared" si="7"/>
        <v>0</v>
      </c>
      <c r="AV100" s="722">
        <f t="shared" si="7"/>
        <v>10426.265000000001</v>
      </c>
      <c r="AW100" s="722">
        <f t="shared" si="7"/>
        <v>0</v>
      </c>
      <c r="AX100" s="722">
        <f t="shared" si="7"/>
        <v>0</v>
      </c>
      <c r="AY100" s="722">
        <f t="shared" si="7"/>
        <v>0</v>
      </c>
      <c r="AZ100" s="722">
        <f t="shared" si="7"/>
        <v>8991.6360999999997</v>
      </c>
      <c r="BA100" s="722">
        <f t="shared" si="7"/>
        <v>0</v>
      </c>
      <c r="BB100" s="724">
        <f t="shared" si="2"/>
        <v>19417.901100000003</v>
      </c>
      <c r="BC100" s="722">
        <f>BC98*$B$100</f>
        <v>0</v>
      </c>
      <c r="BD100" s="722">
        <f t="shared" ref="BD100:BN100" si="8">BD98*$B$100</f>
        <v>0</v>
      </c>
      <c r="BE100" s="722">
        <f t="shared" si="8"/>
        <v>0</v>
      </c>
      <c r="BF100" s="722">
        <f t="shared" si="8"/>
        <v>0</v>
      </c>
      <c r="BG100" s="722">
        <f t="shared" si="8"/>
        <v>0</v>
      </c>
      <c r="BH100" s="722">
        <f t="shared" si="8"/>
        <v>0</v>
      </c>
      <c r="BI100" s="722">
        <f t="shared" si="8"/>
        <v>13548.8145</v>
      </c>
      <c r="BJ100" s="722">
        <f t="shared" si="8"/>
        <v>0</v>
      </c>
      <c r="BK100" s="722">
        <f t="shared" si="8"/>
        <v>0</v>
      </c>
      <c r="BL100" s="722">
        <f t="shared" si="8"/>
        <v>0</v>
      </c>
      <c r="BM100" s="722">
        <f t="shared" si="8"/>
        <v>11693.278099999998</v>
      </c>
      <c r="BN100" s="722">
        <f t="shared" si="8"/>
        <v>1424.9762000000001</v>
      </c>
      <c r="BO100" s="724">
        <f t="shared" si="3"/>
        <v>26667.068799999997</v>
      </c>
      <c r="BP100" s="726">
        <f>O100+AB100+AO100+BB100+BO100</f>
        <v>70732.526700000002</v>
      </c>
    </row>
    <row r="101" spans="1:68" ht="13.5" customHeight="1" thickBot="1">
      <c r="A101" s="720" t="s">
        <v>77</v>
      </c>
      <c r="B101" s="727">
        <f>'Ted Inputs'!G6</f>
        <v>0.1</v>
      </c>
      <c r="C101" s="722">
        <v>0</v>
      </c>
      <c r="D101" s="722">
        <v>0</v>
      </c>
      <c r="E101" s="722">
        <v>0</v>
      </c>
      <c r="F101" s="722">
        <f>ROUND(SUM(C98:E98)*$B$101,0)</f>
        <v>0</v>
      </c>
      <c r="G101" s="722">
        <v>0</v>
      </c>
      <c r="H101" s="722">
        <v>0</v>
      </c>
      <c r="I101" s="722">
        <f>ROUND(SUM(F98:H98)*$B$101,0)</f>
        <v>0</v>
      </c>
      <c r="J101" s="722">
        <v>0</v>
      </c>
      <c r="K101" s="722">
        <v>0</v>
      </c>
      <c r="L101" s="722">
        <f>ROUND(SUM(I98:K98)*$B$101,0)</f>
        <v>0</v>
      </c>
      <c r="M101" s="722">
        <v>250000</v>
      </c>
      <c r="N101" s="722">
        <v>0</v>
      </c>
      <c r="O101" s="724">
        <f t="shared" si="0"/>
        <v>250000</v>
      </c>
      <c r="P101" s="722">
        <f>ROUND(SUM(L98:N98)*$B$101,0)</f>
        <v>0</v>
      </c>
      <c r="Q101" s="722">
        <v>0</v>
      </c>
      <c r="R101" s="722">
        <v>0</v>
      </c>
      <c r="S101" s="722">
        <f>IF(SUM($M$104:S104)&lt;0,0,SUM(P98:R98)*$B$101)</f>
        <v>0</v>
      </c>
      <c r="T101" s="722">
        <v>0</v>
      </c>
      <c r="U101" s="722">
        <v>0</v>
      </c>
      <c r="V101" s="722">
        <f>IF(SUM($M$104:V104)&lt;0,0,SUM(S98:U98)*$B$101)</f>
        <v>0</v>
      </c>
      <c r="W101" s="722">
        <v>0</v>
      </c>
      <c r="X101" s="722">
        <v>0</v>
      </c>
      <c r="Y101" s="722">
        <f>IF(SUM($M$104:Y104)&lt;0,0,SUM(V98:X98)*$B$101)</f>
        <v>0</v>
      </c>
      <c r="Z101" s="722">
        <v>0</v>
      </c>
      <c r="AA101" s="722">
        <v>0</v>
      </c>
      <c r="AB101" s="724">
        <f t="shared" si="1"/>
        <v>0</v>
      </c>
      <c r="AC101" s="722">
        <f>IF(SUM($M$104:AC104)&lt;0,0,SUM(Y98:AA98)*$B$101)</f>
        <v>0</v>
      </c>
      <c r="AD101" s="722">
        <v>0</v>
      </c>
      <c r="AE101" s="722">
        <v>0</v>
      </c>
      <c r="AF101" s="722">
        <f>IF(SUM($M$104:AF104)&lt;0,0,SUM(AC98:AE98)*$B$101)</f>
        <v>0</v>
      </c>
      <c r="AG101" s="722">
        <v>0</v>
      </c>
      <c r="AH101" s="722">
        <v>0</v>
      </c>
      <c r="AI101" s="722">
        <f>IF(SUM($M$104:AI104)&lt;0,0,SUM(AF98:AH98)*$B$101)</f>
        <v>0</v>
      </c>
      <c r="AJ101" s="722">
        <v>0</v>
      </c>
      <c r="AK101" s="722">
        <v>0</v>
      </c>
      <c r="AL101" s="722">
        <f>IF(SUM($M$104:AL104)&lt;0,0,SUM(AI98:AK98)*$B$101)</f>
        <v>0</v>
      </c>
      <c r="AM101" s="722">
        <v>0</v>
      </c>
      <c r="AN101" s="722">
        <v>0</v>
      </c>
      <c r="AO101" s="724">
        <f>SUM(AC101:AN101)</f>
        <v>0</v>
      </c>
      <c r="AP101" s="722">
        <f>IF(SUM($M$104:AP104)&lt;0,0,SUM(AL98:AN98)*$B$101)</f>
        <v>0</v>
      </c>
      <c r="AQ101" s="722">
        <v>0</v>
      </c>
      <c r="AR101" s="722">
        <v>0</v>
      </c>
      <c r="AS101" s="722">
        <f>IF(SUM($M$104:AS104)&lt;0,0,SUM(AP98:AR98)*$B$101)</f>
        <v>0</v>
      </c>
      <c r="AT101" s="722">
        <v>0</v>
      </c>
      <c r="AU101" s="722">
        <v>0</v>
      </c>
      <c r="AV101" s="722">
        <f>IF(SUM($M$104:AV104)&lt;0,0,SUM(AS98:AU98)*$B$101)</f>
        <v>0</v>
      </c>
      <c r="AW101" s="722">
        <v>0</v>
      </c>
      <c r="AX101" s="722">
        <v>0</v>
      </c>
      <c r="AY101" s="722">
        <f>IF(SUM($M$104:AY104)&lt;0,0,(SUM(AV98:AX98)*$B$101)+AP105)</f>
        <v>100737.65000000002</v>
      </c>
      <c r="AZ101" s="722">
        <v>0</v>
      </c>
      <c r="BA101" s="722">
        <v>0</v>
      </c>
      <c r="BB101" s="724">
        <f t="shared" si="2"/>
        <v>100737.65000000002</v>
      </c>
      <c r="BC101" s="722">
        <f>IF(SUM($M$104:BC104)&lt;0,0,SUM(AY98:BA98)*$B$101)</f>
        <v>89916.361000000004</v>
      </c>
      <c r="BD101" s="722">
        <v>0</v>
      </c>
      <c r="BE101" s="722">
        <v>0</v>
      </c>
      <c r="BF101" s="722">
        <f>IF(SUM($M$104:BF104)&lt;0,0,SUM(BC98:BE98)*$B$101)</f>
        <v>0</v>
      </c>
      <c r="BG101" s="722">
        <v>0</v>
      </c>
      <c r="BH101" s="722">
        <v>0</v>
      </c>
      <c r="BI101" s="722">
        <f>IF(SUM($M$104:BI104)&lt;0,0,SUM(BF98:BH98)*$B$101)</f>
        <v>0</v>
      </c>
      <c r="BJ101" s="722">
        <v>0</v>
      </c>
      <c r="BK101" s="722">
        <v>0</v>
      </c>
      <c r="BL101" s="722">
        <f>IF(SUM($M$104:BL104)&lt;0,0,SUM(BI98:BK98)*$B$101)</f>
        <v>135488.14499999999</v>
      </c>
      <c r="BM101" s="722">
        <v>0</v>
      </c>
      <c r="BN101" s="722">
        <v>0</v>
      </c>
      <c r="BO101" s="724">
        <f t="shared" si="3"/>
        <v>225404.50599999999</v>
      </c>
      <c r="BP101" s="726">
        <f>O101+AB101+AO101+BB101+BO101</f>
        <v>576142.15599999996</v>
      </c>
    </row>
    <row r="102" spans="1:68" s="733" customFormat="1" ht="13.5" customHeight="1" thickBot="1">
      <c r="A102" s="728" t="s">
        <v>5</v>
      </c>
      <c r="B102" s="729"/>
      <c r="C102" s="730">
        <f>C98-C99-C100-C101</f>
        <v>0</v>
      </c>
      <c r="D102" s="730">
        <f t="shared" ref="D102:N102" si="9">D98-D99-D100-D101</f>
        <v>0</v>
      </c>
      <c r="E102" s="730">
        <f t="shared" si="9"/>
        <v>0</v>
      </c>
      <c r="F102" s="730">
        <f t="shared" si="9"/>
        <v>0</v>
      </c>
      <c r="G102" s="730">
        <f t="shared" si="9"/>
        <v>0</v>
      </c>
      <c r="H102" s="730">
        <f t="shared" si="9"/>
        <v>0</v>
      </c>
      <c r="I102" s="730">
        <f t="shared" si="9"/>
        <v>0</v>
      </c>
      <c r="J102" s="730">
        <f t="shared" si="9"/>
        <v>0</v>
      </c>
      <c r="K102" s="730">
        <f t="shared" si="9"/>
        <v>0</v>
      </c>
      <c r="L102" s="730">
        <f t="shared" si="9"/>
        <v>0</v>
      </c>
      <c r="M102" s="730">
        <f t="shared" si="9"/>
        <v>-250000</v>
      </c>
      <c r="N102" s="730">
        <f t="shared" si="9"/>
        <v>0</v>
      </c>
      <c r="O102" s="731">
        <f t="shared" si="0"/>
        <v>-250000</v>
      </c>
      <c r="P102" s="730">
        <f>P98-P99-P100-P101</f>
        <v>0</v>
      </c>
      <c r="Q102" s="730">
        <f t="shared" ref="Q102:AA102" si="10">Q98-Q99-Q100-Q101</f>
        <v>0</v>
      </c>
      <c r="R102" s="730">
        <f t="shared" si="10"/>
        <v>0</v>
      </c>
      <c r="S102" s="730">
        <f t="shared" si="10"/>
        <v>0</v>
      </c>
      <c r="T102" s="730">
        <f t="shared" si="10"/>
        <v>0</v>
      </c>
      <c r="U102" s="730">
        <f t="shared" si="10"/>
        <v>0</v>
      </c>
      <c r="V102" s="730">
        <f t="shared" si="10"/>
        <v>270268.22189999995</v>
      </c>
      <c r="W102" s="730">
        <f t="shared" si="10"/>
        <v>0</v>
      </c>
      <c r="X102" s="730">
        <f t="shared" si="10"/>
        <v>0</v>
      </c>
      <c r="Y102" s="730">
        <f t="shared" si="10"/>
        <v>0</v>
      </c>
      <c r="Z102" s="730">
        <f t="shared" si="10"/>
        <v>232952.72279999999</v>
      </c>
      <c r="AA102" s="730">
        <f t="shared" si="10"/>
        <v>0</v>
      </c>
      <c r="AB102" s="731">
        <f t="shared" si="1"/>
        <v>503220.94469999993</v>
      </c>
      <c r="AC102" s="730">
        <f>AC98-AC99-AC100-AC101</f>
        <v>0</v>
      </c>
      <c r="AD102" s="730">
        <f t="shared" ref="AD102:AN102" si="11">AD98-AD99-AD100-AD101</f>
        <v>0</v>
      </c>
      <c r="AE102" s="730">
        <f t="shared" si="11"/>
        <v>0</v>
      </c>
      <c r="AF102" s="730">
        <f t="shared" si="11"/>
        <v>0</v>
      </c>
      <c r="AG102" s="730">
        <f t="shared" si="11"/>
        <v>0</v>
      </c>
      <c r="AH102" s="730">
        <f t="shared" si="11"/>
        <v>0</v>
      </c>
      <c r="AI102" s="730">
        <f t="shared" si="11"/>
        <v>378375.52060000011</v>
      </c>
      <c r="AJ102" s="730">
        <f t="shared" si="11"/>
        <v>0</v>
      </c>
      <c r="AK102" s="730">
        <f t="shared" si="11"/>
        <v>0</v>
      </c>
      <c r="AL102" s="730">
        <f t="shared" si="11"/>
        <v>0</v>
      </c>
      <c r="AM102" s="730">
        <f t="shared" si="11"/>
        <v>326133.80789999996</v>
      </c>
      <c r="AN102" s="730">
        <f t="shared" si="11"/>
        <v>0</v>
      </c>
      <c r="AO102" s="731">
        <f>SUM(AC102:AN102)</f>
        <v>704509.32850000006</v>
      </c>
      <c r="AP102" s="730">
        <f>AP98-AP99-AP100-AP101</f>
        <v>0</v>
      </c>
      <c r="AQ102" s="730">
        <f t="shared" ref="AQ102:BA102" si="12">AQ98-AQ99-AQ100-AQ101</f>
        <v>0</v>
      </c>
      <c r="AR102" s="730">
        <f t="shared" si="12"/>
        <v>0</v>
      </c>
      <c r="AS102" s="730">
        <f t="shared" si="12"/>
        <v>0</v>
      </c>
      <c r="AT102" s="730">
        <f t="shared" si="12"/>
        <v>0</v>
      </c>
      <c r="AU102" s="730">
        <f t="shared" si="12"/>
        <v>0</v>
      </c>
      <c r="AV102" s="730">
        <f t="shared" si="12"/>
        <v>510886.9850000001</v>
      </c>
      <c r="AW102" s="730">
        <f t="shared" si="12"/>
        <v>0</v>
      </c>
      <c r="AX102" s="730">
        <f t="shared" si="12"/>
        <v>0</v>
      </c>
      <c r="AY102" s="730">
        <f t="shared" si="12"/>
        <v>-100737.65000000002</v>
      </c>
      <c r="AZ102" s="730">
        <f t="shared" si="12"/>
        <v>440590.16389999999</v>
      </c>
      <c r="BA102" s="730">
        <f t="shared" si="12"/>
        <v>0</v>
      </c>
      <c r="BB102" s="731">
        <f t="shared" si="2"/>
        <v>850739.49890000001</v>
      </c>
      <c r="BC102" s="730">
        <f>BC98-BC99-BC100-BC101</f>
        <v>-89916.361000000004</v>
      </c>
      <c r="BD102" s="730">
        <f t="shared" ref="BD102:BN102" si="13">BD98-BD99-BD100-BD101</f>
        <v>0</v>
      </c>
      <c r="BE102" s="730">
        <f t="shared" si="13"/>
        <v>0</v>
      </c>
      <c r="BF102" s="730">
        <f t="shared" si="13"/>
        <v>0</v>
      </c>
      <c r="BG102" s="730">
        <f t="shared" si="13"/>
        <v>0</v>
      </c>
      <c r="BH102" s="730">
        <f t="shared" si="13"/>
        <v>0</v>
      </c>
      <c r="BI102" s="730">
        <f t="shared" si="13"/>
        <v>663891.90549999999</v>
      </c>
      <c r="BJ102" s="730">
        <f t="shared" si="13"/>
        <v>0</v>
      </c>
      <c r="BK102" s="730">
        <f t="shared" si="13"/>
        <v>0</v>
      </c>
      <c r="BL102" s="730">
        <f t="shared" si="13"/>
        <v>-135488.14499999999</v>
      </c>
      <c r="BM102" s="730">
        <f t="shared" si="13"/>
        <v>572970.62189999979</v>
      </c>
      <c r="BN102" s="730">
        <f t="shared" si="13"/>
        <v>69823.833799999993</v>
      </c>
      <c r="BO102" s="731">
        <f t="shared" si="3"/>
        <v>1081281.8551999996</v>
      </c>
      <c r="BP102" s="732">
        <f>O102+AB102+AO102+BB102+BO102</f>
        <v>2889751.6272999998</v>
      </c>
    </row>
    <row r="103" spans="1:68" s="556" customFormat="1" hidden="1">
      <c r="B103" s="543"/>
      <c r="C103" s="543"/>
      <c r="D103" s="543"/>
      <c r="E103" s="543"/>
      <c r="F103" s="543"/>
      <c r="G103" s="543"/>
      <c r="H103" s="543"/>
      <c r="J103" s="551"/>
      <c r="L103" s="543"/>
      <c r="O103" s="543"/>
      <c r="Q103" s="543"/>
      <c r="T103" s="543"/>
      <c r="V103" s="543"/>
      <c r="Y103" s="543"/>
      <c r="AB103" s="619"/>
    </row>
    <row r="104" spans="1:68" ht="13.5" hidden="1" customHeight="1" thickBot="1">
      <c r="A104" s="720" t="s">
        <v>77</v>
      </c>
      <c r="B104" s="727">
        <f>'Ted Inputs'!G9</f>
        <v>0</v>
      </c>
      <c r="C104" s="722">
        <v>0</v>
      </c>
      <c r="D104" s="722">
        <v>0</v>
      </c>
      <c r="E104" s="722">
        <v>0</v>
      </c>
      <c r="F104" s="722">
        <f>ROUND(SUM(C101:E101)*$B$101,0)</f>
        <v>0</v>
      </c>
      <c r="G104" s="722">
        <v>0</v>
      </c>
      <c r="H104" s="722">
        <v>0</v>
      </c>
      <c r="I104" s="722">
        <f>ROUND(SUM(F101:H101)*$B$101,0)</f>
        <v>0</v>
      </c>
      <c r="J104" s="722">
        <v>0</v>
      </c>
      <c r="K104" s="722">
        <v>0</v>
      </c>
      <c r="L104" s="722">
        <f>ROUND(SUM(I101:K101)*$B$101,0)</f>
        <v>0</v>
      </c>
      <c r="M104" s="722">
        <v>-250000</v>
      </c>
      <c r="N104" s="722">
        <v>0</v>
      </c>
      <c r="O104" s="724"/>
      <c r="P104" s="722">
        <f>ROUND(SUM(L98:N98)*$B$101,0)</f>
        <v>0</v>
      </c>
      <c r="Q104" s="722">
        <v>0</v>
      </c>
      <c r="R104" s="722">
        <v>0</v>
      </c>
      <c r="S104" s="722">
        <f>ROUND(SUM(P98:R98)*$B$101,0)</f>
        <v>0</v>
      </c>
      <c r="T104" s="722">
        <v>0</v>
      </c>
      <c r="U104" s="722">
        <v>0</v>
      </c>
      <c r="V104" s="722">
        <f>ROUND(SUM(S98:U98)*$B$101,0)</f>
        <v>0</v>
      </c>
      <c r="W104" s="722">
        <v>0</v>
      </c>
      <c r="X104" s="722">
        <v>0</v>
      </c>
      <c r="Y104" s="722">
        <f>ROUND(SUM(V98:X98)*$B$101,0)</f>
        <v>55157</v>
      </c>
      <c r="Z104" s="722">
        <v>0</v>
      </c>
      <c r="AA104" s="722">
        <v>0</v>
      </c>
      <c r="AB104" s="724"/>
      <c r="AC104" s="722">
        <f>ROUND(SUM(Y98:AA98)*$B$101,0)</f>
        <v>47541</v>
      </c>
      <c r="AD104" s="722">
        <v>0</v>
      </c>
      <c r="AE104" s="722">
        <v>0</v>
      </c>
      <c r="AF104" s="722">
        <f>ROUND(SUM(AC98:AE98)*$B$101,0)</f>
        <v>0</v>
      </c>
      <c r="AG104" s="722">
        <v>0</v>
      </c>
      <c r="AH104" s="722">
        <v>0</v>
      </c>
      <c r="AI104" s="722">
        <f>ROUND(SUM(AF98:AH98)*$B$101,0)</f>
        <v>0</v>
      </c>
      <c r="AJ104" s="722">
        <v>0</v>
      </c>
      <c r="AK104" s="722">
        <v>0</v>
      </c>
      <c r="AL104" s="722">
        <f>ROUND(SUM(AI98:AK98)*$B$101,0)</f>
        <v>77219</v>
      </c>
      <c r="AM104" s="722">
        <v>0</v>
      </c>
      <c r="AN104" s="722">
        <v>0</v>
      </c>
      <c r="AO104" s="724"/>
      <c r="AP104" s="722">
        <f>ROUND(SUM(AL98:AN98)*$B$101,0)</f>
        <v>66558</v>
      </c>
      <c r="AQ104" s="722">
        <v>0</v>
      </c>
      <c r="AR104" s="722">
        <v>0</v>
      </c>
      <c r="AS104" s="722">
        <f>ROUND(SUM(AP98:AR98)*$B$101,0)</f>
        <v>0</v>
      </c>
      <c r="AT104" s="722">
        <v>0</v>
      </c>
      <c r="AU104" s="722">
        <v>0</v>
      </c>
      <c r="AV104" s="722">
        <f>ROUND(SUM(AS98:AU98)*$B$101,0)</f>
        <v>0</v>
      </c>
      <c r="AW104" s="722">
        <v>0</v>
      </c>
      <c r="AX104" s="722">
        <v>0</v>
      </c>
      <c r="AY104" s="722">
        <f>ROUND(SUM(AV98:AX98)*$B$101,0)</f>
        <v>104263</v>
      </c>
      <c r="AZ104" s="722">
        <v>0</v>
      </c>
      <c r="BA104" s="722">
        <v>0</v>
      </c>
      <c r="BB104" s="724"/>
      <c r="BC104" s="722">
        <f>ROUND(SUM(AY98:BA98)*$B$101,0)</f>
        <v>89916</v>
      </c>
      <c r="BD104" s="722">
        <v>0</v>
      </c>
      <c r="BE104" s="722">
        <v>0</v>
      </c>
      <c r="BF104" s="722">
        <f>ROUND(SUM(BC98:BE98)*$B$101,0)</f>
        <v>0</v>
      </c>
      <c r="BG104" s="722">
        <v>0</v>
      </c>
      <c r="BH104" s="722">
        <v>0</v>
      </c>
      <c r="BI104" s="722">
        <f>ROUND(SUM(BF98:BH98)*$B$101,0)</f>
        <v>0</v>
      </c>
      <c r="BJ104" s="722">
        <v>0</v>
      </c>
      <c r="BK104" s="722">
        <v>0</v>
      </c>
      <c r="BL104" s="722">
        <f>ROUND(SUM(BI98:BK98)*$B$101,0)</f>
        <v>135488</v>
      </c>
      <c r="BM104" s="722">
        <v>0</v>
      </c>
      <c r="BN104" s="722">
        <v>0</v>
      </c>
      <c r="BO104" s="724"/>
      <c r="BP104" s="726"/>
    </row>
    <row r="105" spans="1:68" hidden="1">
      <c r="L105" s="974"/>
      <c r="M105" s="980"/>
      <c r="Y105" s="1119">
        <f>M104+P104+S104+V104+Y104</f>
        <v>-194843</v>
      </c>
      <c r="AC105" s="1119">
        <f>Y105+AC104</f>
        <v>-147302</v>
      </c>
      <c r="AL105" s="1119">
        <f>AC105+AL104</f>
        <v>-70083</v>
      </c>
      <c r="AP105" s="1119">
        <f>AL105+AP104</f>
        <v>-3525</v>
      </c>
    </row>
    <row r="106" spans="1:68">
      <c r="M106" s="980"/>
    </row>
  </sheetData>
  <mergeCells count="150">
    <mergeCell ref="E5:E6"/>
    <mergeCell ref="G5:G6"/>
    <mergeCell ref="H5:H6"/>
    <mergeCell ref="AP5:AP6"/>
    <mergeCell ref="AQ5:AQ6"/>
    <mergeCell ref="AR5:AR6"/>
    <mergeCell ref="AA5:AA6"/>
    <mergeCell ref="AB5:AB6"/>
    <mergeCell ref="AC5:AC6"/>
    <mergeCell ref="AF5:AF6"/>
    <mergeCell ref="AG5:AG6"/>
    <mergeCell ref="AH5:AH6"/>
    <mergeCell ref="B21:B22"/>
    <mergeCell ref="C21:C22"/>
    <mergeCell ref="D21:D22"/>
    <mergeCell ref="E21:E22"/>
    <mergeCell ref="G21:G22"/>
    <mergeCell ref="H21:H22"/>
    <mergeCell ref="AK5:AK6"/>
    <mergeCell ref="AL5:AL6"/>
    <mergeCell ref="AM5:AM6"/>
    <mergeCell ref="Q5:Q6"/>
    <mergeCell ref="R5:R6"/>
    <mergeCell ref="S5:S6"/>
    <mergeCell ref="V5:V6"/>
    <mergeCell ref="W5:W6"/>
    <mergeCell ref="X5:X6"/>
    <mergeCell ref="I5:I6"/>
    <mergeCell ref="J5:J6"/>
    <mergeCell ref="L5:L6"/>
    <mergeCell ref="M5:M6"/>
    <mergeCell ref="N5:N6"/>
    <mergeCell ref="O5:O6"/>
    <mergeCell ref="B5:B6"/>
    <mergeCell ref="C5:C6"/>
    <mergeCell ref="D5:D6"/>
    <mergeCell ref="Q21:Q22"/>
    <mergeCell ref="R21:R22"/>
    <mergeCell ref="S21:S22"/>
    <mergeCell ref="V21:V22"/>
    <mergeCell ref="W21:W22"/>
    <mergeCell ref="X21:X22"/>
    <mergeCell ref="I21:I22"/>
    <mergeCell ref="J21:J22"/>
    <mergeCell ref="L21:L22"/>
    <mergeCell ref="M21:M22"/>
    <mergeCell ref="N21:N22"/>
    <mergeCell ref="O21:O22"/>
    <mergeCell ref="AK21:AK22"/>
    <mergeCell ref="AL21:AL22"/>
    <mergeCell ref="AM21:AM22"/>
    <mergeCell ref="AP21:AP22"/>
    <mergeCell ref="AQ21:AQ22"/>
    <mergeCell ref="AR21:AR22"/>
    <mergeCell ref="AA21:AA22"/>
    <mergeCell ref="AB21:AB22"/>
    <mergeCell ref="AC21:AC22"/>
    <mergeCell ref="AF21:AF22"/>
    <mergeCell ref="AG21:AG22"/>
    <mergeCell ref="AH21:AH22"/>
    <mergeCell ref="M37:M38"/>
    <mergeCell ref="N37:N38"/>
    <mergeCell ref="O37:O38"/>
    <mergeCell ref="B37:B38"/>
    <mergeCell ref="C37:C38"/>
    <mergeCell ref="D37:D38"/>
    <mergeCell ref="E37:E38"/>
    <mergeCell ref="G37:G38"/>
    <mergeCell ref="H37:H38"/>
    <mergeCell ref="E53:E54"/>
    <mergeCell ref="G53:G54"/>
    <mergeCell ref="H53:H54"/>
    <mergeCell ref="AK37:AK38"/>
    <mergeCell ref="AL37:AL38"/>
    <mergeCell ref="AM37:AM38"/>
    <mergeCell ref="AP37:AP38"/>
    <mergeCell ref="AQ37:AQ38"/>
    <mergeCell ref="AR37:AR38"/>
    <mergeCell ref="AA37:AA38"/>
    <mergeCell ref="AB37:AB38"/>
    <mergeCell ref="AC37:AC38"/>
    <mergeCell ref="AF37:AF38"/>
    <mergeCell ref="AG37:AG38"/>
    <mergeCell ref="AH37:AH38"/>
    <mergeCell ref="Q37:Q38"/>
    <mergeCell ref="R37:R38"/>
    <mergeCell ref="S37:S38"/>
    <mergeCell ref="V37:V38"/>
    <mergeCell ref="W37:W38"/>
    <mergeCell ref="X37:X38"/>
    <mergeCell ref="I37:I38"/>
    <mergeCell ref="J37:J38"/>
    <mergeCell ref="L37:L38"/>
    <mergeCell ref="AP53:AP54"/>
    <mergeCell ref="AQ53:AQ54"/>
    <mergeCell ref="AR53:AR54"/>
    <mergeCell ref="AA53:AA54"/>
    <mergeCell ref="AB53:AB54"/>
    <mergeCell ref="AC53:AC54"/>
    <mergeCell ref="AF53:AF54"/>
    <mergeCell ref="AG53:AG54"/>
    <mergeCell ref="AH53:AH54"/>
    <mergeCell ref="B69:B70"/>
    <mergeCell ref="C69:C70"/>
    <mergeCell ref="D69:D70"/>
    <mergeCell ref="E69:E70"/>
    <mergeCell ref="G69:G70"/>
    <mergeCell ref="H69:H70"/>
    <mergeCell ref="AK53:AK54"/>
    <mergeCell ref="AL53:AL54"/>
    <mergeCell ref="AM53:AM54"/>
    <mergeCell ref="Q53:Q54"/>
    <mergeCell ref="R53:R54"/>
    <mergeCell ref="S53:S54"/>
    <mergeCell ref="V53:V54"/>
    <mergeCell ref="W53:W54"/>
    <mergeCell ref="X53:X54"/>
    <mergeCell ref="I53:I54"/>
    <mergeCell ref="J53:J54"/>
    <mergeCell ref="L53:L54"/>
    <mergeCell ref="M53:M54"/>
    <mergeCell ref="N53:N54"/>
    <mergeCell ref="O53:O54"/>
    <mergeCell ref="B53:B54"/>
    <mergeCell ref="C53:C54"/>
    <mergeCell ref="D53:D54"/>
    <mergeCell ref="Q69:Q70"/>
    <mergeCell ref="R69:R70"/>
    <mergeCell ref="S69:S70"/>
    <mergeCell ref="V69:V70"/>
    <mergeCell ref="W69:W70"/>
    <mergeCell ref="X69:X70"/>
    <mergeCell ref="I69:I70"/>
    <mergeCell ref="J69:J70"/>
    <mergeCell ref="L69:L70"/>
    <mergeCell ref="M69:M70"/>
    <mergeCell ref="N69:N70"/>
    <mergeCell ref="O69:O70"/>
    <mergeCell ref="AK69:AK70"/>
    <mergeCell ref="AL69:AL70"/>
    <mergeCell ref="AM69:AM70"/>
    <mergeCell ref="AP69:AP70"/>
    <mergeCell ref="AQ69:AQ70"/>
    <mergeCell ref="AR69:AR70"/>
    <mergeCell ref="AA69:AA70"/>
    <mergeCell ref="AB69:AB70"/>
    <mergeCell ref="AC69:AC70"/>
    <mergeCell ref="AF69:AF70"/>
    <mergeCell ref="AG69:AG70"/>
    <mergeCell ref="AH69:AH7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0DF0-482C-47D7-A1BF-7CBB1175B643}">
  <dimension ref="A1:AA97"/>
  <sheetViews>
    <sheetView topLeftCell="C1" zoomScale="85" zoomScaleNormal="85" workbookViewId="0">
      <selection activeCell="O27" sqref="O27:Q31"/>
    </sheetView>
  </sheetViews>
  <sheetFormatPr baseColWidth="10" defaultColWidth="12.5" defaultRowHeight="15" customHeight="1"/>
  <cols>
    <col min="1" max="1" width="4" customWidth="1"/>
    <col min="2" max="2" width="38.1640625" bestFit="1" customWidth="1"/>
    <col min="3" max="3" width="52.33203125" customWidth="1"/>
    <col min="4" max="4" width="26.83203125" bestFit="1" customWidth="1"/>
    <col min="5" max="5" width="14.1640625" bestFit="1" customWidth="1"/>
    <col min="6" max="6" width="18.33203125" bestFit="1" customWidth="1"/>
    <col min="7" max="7" width="11.1640625" bestFit="1" customWidth="1"/>
    <col min="8" max="8" width="13.5" bestFit="1" customWidth="1"/>
    <col min="9" max="9" width="15" bestFit="1" customWidth="1"/>
    <col min="10" max="10" width="17.33203125" bestFit="1" customWidth="1"/>
    <col min="11" max="11" width="18.33203125" bestFit="1" customWidth="1"/>
    <col min="12" max="12" width="15" bestFit="1" customWidth="1"/>
    <col min="13" max="13" width="2.6640625" customWidth="1"/>
    <col min="14" max="14" width="7" bestFit="1" customWidth="1"/>
    <col min="15" max="15" width="21" bestFit="1" customWidth="1"/>
    <col min="16" max="16" width="17.6640625" bestFit="1" customWidth="1"/>
    <col min="17" max="17" width="9.6640625" bestFit="1" customWidth="1"/>
    <col min="18" max="18" width="16" bestFit="1" customWidth="1"/>
    <col min="19" max="19" width="18" bestFit="1" customWidth="1"/>
    <col min="20" max="20" width="12.6640625" bestFit="1" customWidth="1"/>
    <col min="21" max="24" width="8.5" customWidth="1"/>
    <col min="25" max="25" width="15" customWidth="1"/>
    <col min="26" max="26" width="13.5" customWidth="1"/>
  </cols>
  <sheetData>
    <row r="1" spans="1:19" ht="15" customHeight="1" thickBot="1">
      <c r="C1" s="1186" t="s">
        <v>28</v>
      </c>
      <c r="D1" s="1187"/>
      <c r="E1" s="1187"/>
      <c r="F1" s="1187"/>
      <c r="G1" s="1188"/>
      <c r="I1" s="1186" t="s">
        <v>522</v>
      </c>
      <c r="J1" s="1187"/>
      <c r="K1" s="1187"/>
      <c r="L1" s="1188"/>
      <c r="N1" s="1186" t="s">
        <v>522</v>
      </c>
      <c r="O1" s="1187"/>
      <c r="P1" s="1187"/>
      <c r="Q1" s="1187"/>
      <c r="R1" s="1187"/>
      <c r="S1" s="1188"/>
    </row>
    <row r="2" spans="1:19" ht="15" customHeight="1"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</row>
    <row r="3" spans="1:19" ht="15" customHeight="1">
      <c r="C3" s="299" t="s">
        <v>17</v>
      </c>
      <c r="D3" s="299" t="s">
        <v>515</v>
      </c>
      <c r="E3" s="299" t="s">
        <v>516</v>
      </c>
      <c r="F3" s="299" t="s">
        <v>517</v>
      </c>
      <c r="G3" s="299" t="s">
        <v>149</v>
      </c>
      <c r="H3" s="299"/>
      <c r="I3" s="299" t="s">
        <v>519</v>
      </c>
      <c r="J3" s="299" t="s">
        <v>518</v>
      </c>
      <c r="K3" s="299" t="s">
        <v>520</v>
      </c>
      <c r="L3" s="299" t="s">
        <v>70</v>
      </c>
      <c r="M3" s="299"/>
      <c r="N3" s="299" t="s">
        <v>21</v>
      </c>
      <c r="O3" s="299" t="s">
        <v>524</v>
      </c>
      <c r="P3" s="299" t="s">
        <v>525</v>
      </c>
      <c r="Q3" s="299" t="s">
        <v>540</v>
      </c>
      <c r="R3" s="299" t="s">
        <v>539</v>
      </c>
      <c r="S3" s="299" t="s">
        <v>207</v>
      </c>
    </row>
    <row r="4" spans="1:19" ht="15" customHeight="1">
      <c r="A4" s="293" t="s">
        <v>28</v>
      </c>
      <c r="B4" s="293"/>
      <c r="J4" s="307">
        <f>'Model Assumptions'!D39</f>
        <v>0.55000000000000004</v>
      </c>
      <c r="N4" s="307">
        <v>0.5</v>
      </c>
      <c r="R4" s="307"/>
    </row>
    <row r="5" spans="1:19" ht="15" customHeight="1">
      <c r="A5" s="293"/>
      <c r="B5" s="293"/>
    </row>
    <row r="6" spans="1:19" ht="15" customHeight="1">
      <c r="A6" s="293"/>
      <c r="B6" s="293" t="s">
        <v>165</v>
      </c>
      <c r="C6" s="286">
        <v>250</v>
      </c>
      <c r="D6" s="286">
        <v>20</v>
      </c>
      <c r="E6" s="286">
        <v>16</v>
      </c>
      <c r="F6" s="286">
        <v>12</v>
      </c>
      <c r="G6" s="286">
        <f>C6*D6*E6*F6</f>
        <v>960000</v>
      </c>
      <c r="H6" s="297"/>
      <c r="I6" s="287">
        <v>50</v>
      </c>
      <c r="J6" s="287">
        <f>I6*$J$4</f>
        <v>27.500000000000004</v>
      </c>
      <c r="K6" s="287">
        <f>J6*D6</f>
        <v>550.00000000000011</v>
      </c>
      <c r="L6" s="287">
        <f>K6*C6</f>
        <v>137500.00000000003</v>
      </c>
      <c r="N6" s="287">
        <f>ROUND(((J6*(D6*C6))/G6)*$N$4,2)</f>
        <v>7.0000000000000007E-2</v>
      </c>
      <c r="O6" s="287">
        <f>G6*-N6</f>
        <v>-67200</v>
      </c>
      <c r="P6" s="291">
        <f>L6+O6</f>
        <v>70300.000000000029</v>
      </c>
      <c r="Q6" s="307">
        <v>0.1</v>
      </c>
      <c r="R6" s="291">
        <f>L6*-Q6</f>
        <v>-13750.000000000004</v>
      </c>
      <c r="S6" s="291">
        <f>P6+R6</f>
        <v>56550.000000000029</v>
      </c>
    </row>
    <row r="7" spans="1:19" ht="15" customHeight="1" thickBot="1">
      <c r="A7" s="293"/>
      <c r="B7" s="293" t="s">
        <v>526</v>
      </c>
      <c r="C7" s="292">
        <f>SUM(C6:C6)</f>
        <v>250</v>
      </c>
      <c r="D7" s="292">
        <f>SUM(D6:D6)</f>
        <v>20</v>
      </c>
      <c r="E7" s="292">
        <f>SUM(E6:E6)</f>
        <v>16</v>
      </c>
      <c r="F7" s="292">
        <f>SUM(F6:F6)</f>
        <v>12</v>
      </c>
      <c r="G7" s="292">
        <f>SUM(G6:G6)</f>
        <v>960000</v>
      </c>
      <c r="H7" s="294"/>
      <c r="I7" s="295">
        <f>SUM(I6:I6)</f>
        <v>50</v>
      </c>
      <c r="J7" s="295">
        <f>SUM(J6:J6)</f>
        <v>27.500000000000004</v>
      </c>
      <c r="K7" s="295">
        <f>SUM(K6:K6)</f>
        <v>550.00000000000011</v>
      </c>
      <c r="L7" s="295">
        <f>SUM(L6:L6)</f>
        <v>137500.00000000003</v>
      </c>
      <c r="M7" s="296"/>
      <c r="N7" s="296"/>
      <c r="O7" s="295">
        <f>SUM(O6:O6)</f>
        <v>-67200</v>
      </c>
      <c r="P7" s="295">
        <f>SUM(P6:P6)</f>
        <v>70300.000000000029</v>
      </c>
      <c r="Q7" s="490"/>
      <c r="R7" s="295">
        <f>SUM(R6:R6)</f>
        <v>-13750.000000000004</v>
      </c>
      <c r="S7" s="295">
        <f>SUM(S6:S6)</f>
        <v>56550.000000000029</v>
      </c>
    </row>
    <row r="8" spans="1:19" ht="15" customHeight="1" thickTop="1">
      <c r="A8" s="293"/>
      <c r="B8" s="293"/>
      <c r="C8" s="305" t="s">
        <v>538</v>
      </c>
      <c r="D8" s="306">
        <f>D7*C7</f>
        <v>5000</v>
      </c>
      <c r="H8" s="297"/>
      <c r="M8" s="297"/>
      <c r="N8" s="297"/>
      <c r="Q8" s="307"/>
    </row>
    <row r="9" spans="1:19" ht="15" customHeight="1">
      <c r="A9" s="293" t="s">
        <v>27</v>
      </c>
      <c r="B9" s="293"/>
      <c r="H9" s="297"/>
      <c r="M9" s="297"/>
      <c r="N9" s="297"/>
      <c r="Q9" s="307"/>
    </row>
    <row r="10" spans="1:19" ht="15" customHeight="1">
      <c r="A10" s="293"/>
      <c r="B10" s="293"/>
      <c r="H10" s="297"/>
      <c r="M10" s="297"/>
      <c r="N10" s="297"/>
      <c r="Q10" s="307"/>
    </row>
    <row r="11" spans="1:19" ht="15" customHeight="1">
      <c r="A11" s="293"/>
      <c r="B11" s="293" t="s">
        <v>165</v>
      </c>
      <c r="C11">
        <v>2500</v>
      </c>
      <c r="D11" s="288">
        <f>D6</f>
        <v>20</v>
      </c>
      <c r="E11" s="288">
        <f>E6</f>
        <v>16</v>
      </c>
      <c r="F11" s="288">
        <f>F6</f>
        <v>12</v>
      </c>
      <c r="G11" s="286">
        <f>C11*D11*E11*F11</f>
        <v>9600000</v>
      </c>
      <c r="H11" s="297"/>
      <c r="I11" s="290">
        <v>60</v>
      </c>
      <c r="J11" s="287">
        <f>I11*$J$4</f>
        <v>33</v>
      </c>
      <c r="K11" s="287">
        <f>J11*D11</f>
        <v>660</v>
      </c>
      <c r="L11" s="287">
        <f>K11*C11</f>
        <v>1650000</v>
      </c>
      <c r="M11" s="297"/>
      <c r="N11" s="298">
        <f>N6</f>
        <v>7.0000000000000007E-2</v>
      </c>
      <c r="O11" s="287">
        <f>G11*-N11</f>
        <v>-672000.00000000012</v>
      </c>
      <c r="P11" s="291">
        <f>L11+O11</f>
        <v>977999.99999999988</v>
      </c>
      <c r="Q11" s="307">
        <v>0.1</v>
      </c>
      <c r="R11" s="291">
        <f>L11*-Q11</f>
        <v>-165000</v>
      </c>
      <c r="S11" s="291">
        <f>P11+R11</f>
        <v>812999.99999999988</v>
      </c>
    </row>
    <row r="12" spans="1:19" ht="15" customHeight="1" thickBot="1">
      <c r="A12" s="293"/>
      <c r="B12" s="293" t="s">
        <v>526</v>
      </c>
      <c r="C12" s="292">
        <f>SUM(C11:C11)</f>
        <v>2500</v>
      </c>
      <c r="D12" s="292">
        <f>SUM(D11:D11)</f>
        <v>20</v>
      </c>
      <c r="E12" s="292">
        <f>SUM(E11:E11)</f>
        <v>16</v>
      </c>
      <c r="F12" s="292">
        <f>SUM(F11:F11)</f>
        <v>12</v>
      </c>
      <c r="G12" s="292">
        <f>SUM(G11:G11)</f>
        <v>9600000</v>
      </c>
      <c r="H12" s="294"/>
      <c r="I12" s="295">
        <f>SUM(I11:I11)</f>
        <v>60</v>
      </c>
      <c r="J12" s="295">
        <f>SUM(J11:J11)</f>
        <v>33</v>
      </c>
      <c r="K12" s="295">
        <f>SUM(K11:K11)</f>
        <v>660</v>
      </c>
      <c r="L12" s="295">
        <f>SUM(L11:L11)</f>
        <v>1650000</v>
      </c>
      <c r="M12" s="296"/>
      <c r="N12" s="296"/>
      <c r="O12" s="295">
        <f>SUM(O11:O11)</f>
        <v>-672000.00000000012</v>
      </c>
      <c r="P12" s="295">
        <f>SUM(P11:P11)</f>
        <v>977999.99999999988</v>
      </c>
      <c r="Q12" s="490"/>
      <c r="R12" s="295">
        <f>SUM(R11:R11)</f>
        <v>-165000</v>
      </c>
      <c r="S12" s="295">
        <f>SUM(S11:S11)</f>
        <v>812999.99999999988</v>
      </c>
    </row>
    <row r="13" spans="1:19" ht="15" customHeight="1" thickTop="1">
      <c r="A13" s="293"/>
      <c r="B13" s="293"/>
      <c r="C13" s="305" t="s">
        <v>538</v>
      </c>
      <c r="D13" s="306">
        <f>D12*C12</f>
        <v>50000</v>
      </c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491"/>
      <c r="R13" s="294"/>
      <c r="S13" s="294"/>
    </row>
    <row r="14" spans="1:19" ht="15" customHeight="1">
      <c r="A14" s="293" t="s">
        <v>26</v>
      </c>
      <c r="B14" s="293"/>
      <c r="H14" s="297"/>
      <c r="M14" s="297"/>
      <c r="N14" s="297"/>
      <c r="Q14" s="307"/>
    </row>
    <row r="15" spans="1:19" ht="15" customHeight="1">
      <c r="A15" s="293"/>
      <c r="B15" s="293"/>
      <c r="H15" s="297"/>
      <c r="M15" s="297"/>
      <c r="N15" s="297"/>
      <c r="Q15" s="307"/>
    </row>
    <row r="16" spans="1:19" ht="15" customHeight="1">
      <c r="A16" s="293"/>
      <c r="B16" s="293" t="s">
        <v>165</v>
      </c>
      <c r="C16">
        <v>5000</v>
      </c>
      <c r="D16" s="288">
        <f>D6</f>
        <v>20</v>
      </c>
      <c r="E16" s="288">
        <f>E6</f>
        <v>16</v>
      </c>
      <c r="F16" s="288">
        <f>F6</f>
        <v>12</v>
      </c>
      <c r="G16" s="286">
        <f>C16*D16*E16*F16</f>
        <v>19200000</v>
      </c>
      <c r="H16" s="297"/>
      <c r="I16" s="290">
        <v>75</v>
      </c>
      <c r="J16" s="287">
        <f>I16*$J$4</f>
        <v>41.25</v>
      </c>
      <c r="K16" s="287">
        <f>J16*D16</f>
        <v>825</v>
      </c>
      <c r="L16" s="287">
        <f>K16*C16</f>
        <v>4125000</v>
      </c>
      <c r="M16" s="297"/>
      <c r="N16" s="298">
        <f>N6</f>
        <v>7.0000000000000007E-2</v>
      </c>
      <c r="O16" s="287">
        <f>G16*-N16</f>
        <v>-1344000.0000000002</v>
      </c>
      <c r="P16" s="291">
        <f>L16+O16</f>
        <v>2781000</v>
      </c>
      <c r="Q16" s="307">
        <v>0.1</v>
      </c>
      <c r="R16" s="291">
        <f>L16*-Q16</f>
        <v>-412500</v>
      </c>
      <c r="S16" s="291">
        <f>P16+R16</f>
        <v>2368500</v>
      </c>
    </row>
    <row r="17" spans="1:19" ht="15" customHeight="1" thickBot="1">
      <c r="A17" s="293"/>
      <c r="B17" s="293" t="s">
        <v>526</v>
      </c>
      <c r="C17" s="292">
        <f>SUM(C15:C16)</f>
        <v>5000</v>
      </c>
      <c r="D17" s="292">
        <f>SUM(D15:D16)</f>
        <v>20</v>
      </c>
      <c r="E17" s="292">
        <f>SUM(E15:E16)</f>
        <v>16</v>
      </c>
      <c r="F17" s="292">
        <f t="shared" ref="F17:G17" si="0">SUM(F15:F16)</f>
        <v>12</v>
      </c>
      <c r="G17" s="292">
        <f t="shared" si="0"/>
        <v>19200000</v>
      </c>
      <c r="H17" s="294"/>
      <c r="I17" s="295">
        <f t="shared" ref="I17" si="1">SUM(I15:I16)</f>
        <v>75</v>
      </c>
      <c r="J17" s="295">
        <f t="shared" ref="J17:L17" si="2">SUM(J15:J16)</f>
        <v>41.25</v>
      </c>
      <c r="K17" s="295">
        <f t="shared" si="2"/>
        <v>825</v>
      </c>
      <c r="L17" s="295">
        <f t="shared" si="2"/>
        <v>4125000</v>
      </c>
      <c r="M17" s="296"/>
      <c r="N17" s="296"/>
      <c r="O17" s="295">
        <f t="shared" ref="O17:S17" si="3">SUM(O15:O16)</f>
        <v>-1344000.0000000002</v>
      </c>
      <c r="P17" s="295">
        <f t="shared" si="3"/>
        <v>2781000</v>
      </c>
      <c r="Q17" s="490"/>
      <c r="R17" s="295">
        <f t="shared" si="3"/>
        <v>-412500</v>
      </c>
      <c r="S17" s="295">
        <f t="shared" si="3"/>
        <v>2368500</v>
      </c>
    </row>
    <row r="18" spans="1:19" ht="15" customHeight="1" thickTop="1">
      <c r="C18" s="305" t="s">
        <v>538</v>
      </c>
      <c r="D18" s="306">
        <f>D17*C17</f>
        <v>100000</v>
      </c>
      <c r="G18" s="286"/>
      <c r="H18" s="297"/>
      <c r="I18" s="290"/>
      <c r="J18" s="287"/>
      <c r="K18" s="304"/>
      <c r="L18" s="291"/>
      <c r="O18" s="304"/>
      <c r="P18" s="291"/>
      <c r="Q18" s="307"/>
      <c r="R18" s="291"/>
      <c r="S18" s="291"/>
    </row>
    <row r="19" spans="1:19" ht="15" customHeight="1">
      <c r="A19" s="293" t="s">
        <v>25</v>
      </c>
      <c r="B19" s="293"/>
      <c r="H19" s="297"/>
      <c r="M19" s="297"/>
      <c r="N19" s="297"/>
      <c r="Q19" s="307"/>
    </row>
    <row r="20" spans="1:19" ht="15" customHeight="1">
      <c r="A20" s="293"/>
      <c r="B20" s="293"/>
      <c r="H20" s="297"/>
      <c r="M20" s="297"/>
      <c r="N20" s="297"/>
      <c r="Q20" s="307"/>
    </row>
    <row r="21" spans="1:19" ht="15" customHeight="1">
      <c r="A21" s="293"/>
      <c r="B21" s="293" t="s">
        <v>165</v>
      </c>
      <c r="C21">
        <v>12500</v>
      </c>
      <c r="D21" s="288">
        <f>D6</f>
        <v>20</v>
      </c>
      <c r="E21" s="288">
        <f>E6</f>
        <v>16</v>
      </c>
      <c r="F21" s="288">
        <f>F6</f>
        <v>12</v>
      </c>
      <c r="G21" s="286">
        <f>C21*D21*E21*F21</f>
        <v>48000000</v>
      </c>
      <c r="H21" s="297"/>
      <c r="I21" s="290">
        <v>90</v>
      </c>
      <c r="J21" s="287">
        <f>I21*$J$4</f>
        <v>49.500000000000007</v>
      </c>
      <c r="K21" s="287">
        <f>J21*D21</f>
        <v>990.00000000000011</v>
      </c>
      <c r="L21" s="287">
        <f>K21*C21</f>
        <v>12375000.000000002</v>
      </c>
      <c r="M21" s="297"/>
      <c r="N21" s="298">
        <f>N6</f>
        <v>7.0000000000000007E-2</v>
      </c>
      <c r="O21" s="287">
        <f>G21*-N21</f>
        <v>-3360000.0000000005</v>
      </c>
      <c r="P21" s="291">
        <f>L21+O21</f>
        <v>9015000.0000000019</v>
      </c>
      <c r="Q21" s="307">
        <v>0.1</v>
      </c>
      <c r="R21" s="291">
        <f>L21*-Q21</f>
        <v>-1237500.0000000002</v>
      </c>
      <c r="S21" s="291">
        <f>P21+R21</f>
        <v>7777500.0000000019</v>
      </c>
    </row>
    <row r="22" spans="1:19" ht="15" customHeight="1" thickBot="1">
      <c r="A22" s="293"/>
      <c r="B22" s="293" t="s">
        <v>526</v>
      </c>
      <c r="C22" s="292">
        <f>SUM(C20:C21)</f>
        <v>12500</v>
      </c>
      <c r="D22" s="292">
        <f>SUM(D20:D21)</f>
        <v>20</v>
      </c>
      <c r="E22" s="292">
        <f>SUM(E20:E21)</f>
        <v>16</v>
      </c>
      <c r="F22" s="292">
        <f t="shared" ref="F22" si="4">SUM(F20:F21)</f>
        <v>12</v>
      </c>
      <c r="G22" s="292">
        <f t="shared" ref="G22" si="5">SUM(G20:G21)</f>
        <v>48000000</v>
      </c>
      <c r="H22" s="294"/>
      <c r="I22" s="295">
        <f t="shared" ref="I22" si="6">SUM(I20:I21)</f>
        <v>90</v>
      </c>
      <c r="J22" s="295">
        <f t="shared" ref="J22" si="7">SUM(J20:J21)</f>
        <v>49.500000000000007</v>
      </c>
      <c r="K22" s="295">
        <f t="shared" ref="K22" si="8">SUM(K20:K21)</f>
        <v>990.00000000000011</v>
      </c>
      <c r="L22" s="295">
        <f t="shared" ref="L22" si="9">SUM(L20:L21)</f>
        <v>12375000.000000002</v>
      </c>
      <c r="M22" s="296"/>
      <c r="N22" s="296"/>
      <c r="O22" s="295">
        <f t="shared" ref="O22" si="10">SUM(O20:O21)</f>
        <v>-3360000.0000000005</v>
      </c>
      <c r="P22" s="295">
        <f t="shared" ref="P22:S22" si="11">SUM(P20:P21)</f>
        <v>9015000.0000000019</v>
      </c>
      <c r="Q22" s="295"/>
      <c r="R22" s="295">
        <f t="shared" si="11"/>
        <v>-1237500.0000000002</v>
      </c>
      <c r="S22" s="295">
        <f t="shared" si="11"/>
        <v>7777500.0000000019</v>
      </c>
    </row>
    <row r="23" spans="1:19" ht="15" customHeight="1" thickTop="1">
      <c r="C23" s="305" t="s">
        <v>538</v>
      </c>
      <c r="D23" s="286">
        <f>D22*C22</f>
        <v>250000</v>
      </c>
      <c r="G23" s="286"/>
      <c r="H23" s="297"/>
      <c r="I23" s="290"/>
      <c r="J23" s="287"/>
      <c r="K23" s="287"/>
      <c r="L23" s="300"/>
      <c r="M23" s="291"/>
      <c r="P23" s="308"/>
      <c r="Q23" s="308"/>
    </row>
    <row r="24" spans="1:19" ht="15" customHeight="1" thickBot="1">
      <c r="C24" s="305"/>
      <c r="D24" s="286"/>
      <c r="G24" s="286"/>
      <c r="H24" s="297"/>
      <c r="I24" s="290"/>
      <c r="J24" s="287"/>
      <c r="K24" s="287"/>
      <c r="L24" s="300"/>
      <c r="M24" s="291"/>
    </row>
    <row r="25" spans="1:19" ht="15" customHeight="1" thickBot="1">
      <c r="B25" s="1142" t="s">
        <v>546</v>
      </c>
      <c r="C25" s="1143"/>
      <c r="D25" s="1143"/>
      <c r="E25" s="1143"/>
      <c r="F25" s="1143"/>
      <c r="G25" s="1144"/>
      <c r="H25" s="297"/>
      <c r="I25" s="1122" t="s">
        <v>549</v>
      </c>
      <c r="J25" s="1123"/>
      <c r="K25" s="1123"/>
      <c r="L25" s="1123"/>
      <c r="M25" s="1123"/>
      <c r="N25" s="1124"/>
    </row>
    <row r="26" spans="1:19" ht="15" customHeight="1">
      <c r="B26" s="309" t="s">
        <v>547</v>
      </c>
      <c r="C26" s="310"/>
      <c r="D26" s="311" t="s">
        <v>28</v>
      </c>
      <c r="E26" s="312" t="s">
        <v>27</v>
      </c>
      <c r="F26" s="312" t="s">
        <v>26</v>
      </c>
      <c r="G26" s="313" t="s">
        <v>25</v>
      </c>
      <c r="H26" s="314"/>
      <c r="I26" s="309" t="s">
        <v>20</v>
      </c>
      <c r="J26" s="312" t="s">
        <v>21</v>
      </c>
      <c r="K26" s="311" t="s">
        <v>77</v>
      </c>
      <c r="L26" s="312" t="s">
        <v>548</v>
      </c>
      <c r="M26" s="312"/>
      <c r="N26" s="313"/>
    </row>
    <row r="27" spans="1:19" ht="15.75" customHeight="1">
      <c r="A27" s="87"/>
      <c r="B27" s="315">
        <v>2026</v>
      </c>
      <c r="C27" s="316"/>
      <c r="D27" s="316">
        <f>'Model Assumptions'!C46</f>
        <v>2</v>
      </c>
      <c r="E27" s="317">
        <f>'Model Assumptions'!D46</f>
        <v>0</v>
      </c>
      <c r="F27" s="317">
        <f>'Model Assumptions'!E46</f>
        <v>0</v>
      </c>
      <c r="G27" s="318">
        <f>'Model Assumptions'!F46</f>
        <v>0</v>
      </c>
      <c r="H27" s="319"/>
      <c r="I27" s="320">
        <f>($L$7*$D27)+($E27*$L$12)+($F27*$L$17)+($G27*$L$22)</f>
        <v>275000.00000000006</v>
      </c>
      <c r="J27" s="325">
        <f>(O$7*$D27)+($E27*O$12)+($F27*O$17)+($G27*O$22)</f>
        <v>-134400</v>
      </c>
      <c r="K27" s="325">
        <f>(R$7*$D27)+($E27*R$12)+($F27*R$17)+($G27*R$22)</f>
        <v>-27500.000000000007</v>
      </c>
      <c r="L27" s="325">
        <f>SUM(I27:K27)</f>
        <v>113100.00000000006</v>
      </c>
      <c r="M27" s="317"/>
      <c r="N27" s="318"/>
      <c r="O27" s="1040"/>
      <c r="P27" s="1040"/>
      <c r="Q27" s="1040"/>
      <c r="R27" s="88"/>
      <c r="S27" s="88"/>
    </row>
    <row r="28" spans="1:19" ht="15.75" customHeight="1">
      <c r="A28" s="87"/>
      <c r="B28" s="315">
        <v>2027</v>
      </c>
      <c r="C28" s="316"/>
      <c r="D28" s="316">
        <f>'Model Assumptions'!C47</f>
        <v>4</v>
      </c>
      <c r="E28" s="317">
        <f>'Model Assumptions'!D47</f>
        <v>3</v>
      </c>
      <c r="F28" s="317">
        <f>'Model Assumptions'!E47</f>
        <v>2</v>
      </c>
      <c r="G28" s="318">
        <f>'Model Assumptions'!F47</f>
        <v>0</v>
      </c>
      <c r="H28" s="319"/>
      <c r="I28" s="320">
        <f t="shared" ref="I28:I31" si="12">($L$7*$D28)+($E28*$L$12)+($F28*$L$17)+($G28*$L$22)</f>
        <v>13750000</v>
      </c>
      <c r="J28" s="325">
        <f t="shared" ref="J28:J31" si="13">(O$7*$D28)+($E28*O$12)+($F28*O$17)+($G28*O$22)</f>
        <v>-4972800.0000000009</v>
      </c>
      <c r="K28" s="325">
        <f t="shared" ref="K28:K31" si="14">(R$7*$D28)+($E28*R$12)+($F28*R$17)+($G28*R$22)</f>
        <v>-1375000</v>
      </c>
      <c r="L28" s="325">
        <f t="shared" ref="L28:L31" si="15">SUM(I28:K28)</f>
        <v>7402200</v>
      </c>
      <c r="M28" s="317"/>
      <c r="N28" s="318"/>
      <c r="O28" s="1040"/>
      <c r="P28" s="1040"/>
      <c r="Q28" s="1040"/>
      <c r="R28" s="88"/>
      <c r="S28" s="88"/>
    </row>
    <row r="29" spans="1:19" ht="15.75" customHeight="1">
      <c r="A29" s="87"/>
      <c r="B29" s="315">
        <v>2028</v>
      </c>
      <c r="C29" s="316"/>
      <c r="D29" s="316">
        <f>'Model Assumptions'!C48</f>
        <v>6</v>
      </c>
      <c r="E29" s="317">
        <v>6</v>
      </c>
      <c r="F29" s="317">
        <f>'Model Assumptions'!E48</f>
        <v>4</v>
      </c>
      <c r="G29" s="318">
        <f>'Model Assumptions'!F48</f>
        <v>1</v>
      </c>
      <c r="H29" s="319"/>
      <c r="I29" s="320">
        <f t="shared" si="12"/>
        <v>39600000</v>
      </c>
      <c r="J29" s="325">
        <f t="shared" si="13"/>
        <v>-13171200.000000002</v>
      </c>
      <c r="K29" s="325">
        <f t="shared" si="14"/>
        <v>-3960000</v>
      </c>
      <c r="L29" s="325">
        <f t="shared" si="15"/>
        <v>22468800</v>
      </c>
      <c r="M29" s="317"/>
      <c r="N29" s="318"/>
      <c r="O29" s="1040"/>
      <c r="P29" s="1040"/>
      <c r="Q29" s="1040"/>
      <c r="R29" s="88"/>
      <c r="S29" s="88"/>
    </row>
    <row r="30" spans="1:19" ht="15.75" customHeight="1">
      <c r="A30" s="87"/>
      <c r="B30" s="315">
        <v>2029</v>
      </c>
      <c r="C30" s="317"/>
      <c r="D30" s="316">
        <f>'Model Assumptions'!C49</f>
        <v>8</v>
      </c>
      <c r="E30" s="317">
        <f>'Model Assumptions'!D49</f>
        <v>9</v>
      </c>
      <c r="F30" s="317">
        <f>'Model Assumptions'!E49</f>
        <v>6</v>
      </c>
      <c r="G30" s="318">
        <f>'Model Assumptions'!F49</f>
        <v>2</v>
      </c>
      <c r="H30" s="319"/>
      <c r="I30" s="320">
        <f t="shared" si="12"/>
        <v>65450000</v>
      </c>
      <c r="J30" s="325">
        <f t="shared" si="13"/>
        <v>-21369600.000000004</v>
      </c>
      <c r="K30" s="325">
        <f t="shared" si="14"/>
        <v>-6545000</v>
      </c>
      <c r="L30" s="325">
        <f t="shared" si="15"/>
        <v>37535400</v>
      </c>
      <c r="M30" s="317"/>
      <c r="N30" s="318"/>
      <c r="O30" s="1040"/>
      <c r="P30" s="1040"/>
      <c r="Q30" s="1040"/>
      <c r="R30" s="88"/>
      <c r="S30" s="88"/>
    </row>
    <row r="31" spans="1:19" ht="15.75" customHeight="1" thickBot="1">
      <c r="A31" s="87"/>
      <c r="B31" s="321">
        <v>2030</v>
      </c>
      <c r="C31" s="322"/>
      <c r="D31" s="323">
        <f>'Model Assumptions'!C50</f>
        <v>10</v>
      </c>
      <c r="E31" s="322">
        <v>12</v>
      </c>
      <c r="F31" s="322">
        <f>'Model Assumptions'!E50</f>
        <v>8</v>
      </c>
      <c r="G31" s="324">
        <f>'Model Assumptions'!F50</f>
        <v>3</v>
      </c>
      <c r="H31" s="319"/>
      <c r="I31" s="326">
        <f t="shared" si="12"/>
        <v>91300000</v>
      </c>
      <c r="J31" s="327">
        <f t="shared" si="13"/>
        <v>-29568000.000000007</v>
      </c>
      <c r="K31" s="327">
        <f t="shared" si="14"/>
        <v>-9130000</v>
      </c>
      <c r="L31" s="327">
        <f t="shared" si="15"/>
        <v>52601999.999999993</v>
      </c>
      <c r="M31" s="322"/>
      <c r="N31" s="324"/>
      <c r="O31" s="1040"/>
      <c r="P31" s="1040"/>
      <c r="Q31" s="1040"/>
      <c r="R31" s="88"/>
      <c r="S31" s="88"/>
    </row>
    <row r="36" spans="2:27" ht="15" hidden="1" customHeight="1">
      <c r="B36" s="643" t="s">
        <v>789</v>
      </c>
      <c r="C36" s="644" t="s">
        <v>790</v>
      </c>
      <c r="D36" s="644" t="s">
        <v>491</v>
      </c>
      <c r="E36" s="1184" t="s">
        <v>791</v>
      </c>
      <c r="F36" s="1184"/>
      <c r="G36" s="1184"/>
      <c r="H36" s="1184"/>
      <c r="I36" s="1184"/>
      <c r="J36" s="1184"/>
      <c r="K36" s="1184"/>
      <c r="L36" s="1184"/>
      <c r="M36" s="1184"/>
      <c r="N36" s="1185"/>
      <c r="O36" s="627"/>
      <c r="P36" s="627"/>
      <c r="Q36" s="627"/>
      <c r="R36" s="627"/>
      <c r="S36" s="627"/>
      <c r="T36" s="627"/>
      <c r="U36" s="627"/>
      <c r="V36" s="627"/>
      <c r="W36" s="627"/>
      <c r="X36" s="627"/>
      <c r="Y36" s="627"/>
      <c r="Z36" s="627"/>
      <c r="AA36" s="627"/>
    </row>
    <row r="37" spans="2:27" ht="15" hidden="1" customHeight="1">
      <c r="B37" s="645"/>
      <c r="C37" s="627"/>
      <c r="D37" s="627"/>
      <c r="E37" s="1193"/>
      <c r="F37" s="1193"/>
      <c r="G37" s="1193"/>
      <c r="H37" s="1193"/>
      <c r="I37" s="1193"/>
      <c r="J37" s="1193"/>
      <c r="K37" s="1193"/>
      <c r="L37" s="1193"/>
      <c r="M37" s="1193"/>
      <c r="N37" s="1194"/>
      <c r="O37" s="627"/>
      <c r="P37" s="627"/>
      <c r="Q37" s="627"/>
      <c r="R37" s="627"/>
      <c r="S37" s="627"/>
      <c r="T37" s="627"/>
      <c r="U37" s="627"/>
      <c r="V37" s="627"/>
      <c r="W37" s="627"/>
      <c r="X37" s="627"/>
      <c r="Y37" s="627"/>
      <c r="Z37" s="627"/>
      <c r="AA37" s="627"/>
    </row>
    <row r="38" spans="2:27" ht="15" hidden="1" customHeight="1">
      <c r="B38" s="646" t="s">
        <v>820</v>
      </c>
      <c r="C38" s="637" t="s">
        <v>851</v>
      </c>
      <c r="D38" s="640" t="s">
        <v>860</v>
      </c>
      <c r="E38" s="1189" t="s">
        <v>859</v>
      </c>
      <c r="F38" s="1190"/>
      <c r="G38" s="1190"/>
      <c r="H38" s="1190"/>
      <c r="I38" s="1190"/>
      <c r="J38" s="1190"/>
      <c r="K38" s="1190"/>
      <c r="L38" s="1190"/>
      <c r="M38" s="1190"/>
      <c r="N38" s="1191"/>
      <c r="O38" s="627"/>
      <c r="P38" s="627"/>
      <c r="Q38" s="627"/>
      <c r="R38" s="627"/>
      <c r="S38" s="627"/>
      <c r="T38" s="627"/>
      <c r="U38" s="627"/>
      <c r="V38" s="627"/>
      <c r="W38" s="627"/>
      <c r="X38" s="627"/>
      <c r="Y38" s="627"/>
      <c r="Z38" s="627"/>
      <c r="AA38" s="627"/>
    </row>
    <row r="39" spans="2:27" ht="15" hidden="1" customHeight="1">
      <c r="B39" s="646" t="s">
        <v>32</v>
      </c>
      <c r="C39" s="637" t="s">
        <v>851</v>
      </c>
      <c r="D39" s="640" t="s">
        <v>857</v>
      </c>
      <c r="E39" s="1192" t="s">
        <v>793</v>
      </c>
      <c r="F39" s="1193"/>
      <c r="G39" s="1193"/>
      <c r="H39" s="1193"/>
      <c r="I39" s="1193"/>
      <c r="J39" s="1193"/>
      <c r="K39" s="1193"/>
      <c r="L39" s="1193"/>
      <c r="M39" s="1193"/>
      <c r="N39" s="1194"/>
      <c r="O39" s="627"/>
      <c r="P39" s="627"/>
      <c r="Q39" s="627"/>
      <c r="R39" s="627"/>
      <c r="S39" s="627"/>
      <c r="T39" s="627"/>
      <c r="U39" s="627"/>
      <c r="V39" s="627"/>
      <c r="W39" s="627"/>
      <c r="X39" s="627"/>
      <c r="Y39" s="627"/>
      <c r="Z39" s="627"/>
      <c r="AA39" s="627"/>
    </row>
    <row r="40" spans="2:27" ht="15" hidden="1" customHeight="1">
      <c r="B40" s="647" t="s">
        <v>821</v>
      </c>
      <c r="C40" s="638" t="s">
        <v>852</v>
      </c>
      <c r="D40" s="641" t="s">
        <v>811</v>
      </c>
      <c r="E40" s="1192" t="s">
        <v>856</v>
      </c>
      <c r="F40" s="1193"/>
      <c r="G40" s="1193"/>
      <c r="H40" s="1193"/>
      <c r="I40" s="1193"/>
      <c r="J40" s="1193"/>
      <c r="K40" s="1193"/>
      <c r="L40" s="1193"/>
      <c r="M40" s="1193"/>
      <c r="N40" s="1194"/>
      <c r="O40" s="627"/>
      <c r="P40" s="627"/>
      <c r="Q40" s="627"/>
      <c r="R40" s="627"/>
      <c r="S40" s="627"/>
      <c r="T40" s="627"/>
      <c r="U40" s="627"/>
      <c r="V40" s="627"/>
      <c r="W40" s="627"/>
      <c r="X40" s="627"/>
      <c r="Y40" s="627"/>
      <c r="Z40" s="627"/>
      <c r="AA40" s="627"/>
    </row>
    <row r="41" spans="2:27" ht="15" hidden="1" customHeight="1">
      <c r="B41" s="648" t="s">
        <v>842</v>
      </c>
      <c r="C41" s="638" t="s">
        <v>852</v>
      </c>
      <c r="D41" s="642" t="s">
        <v>843</v>
      </c>
      <c r="E41" s="1195" t="s">
        <v>858</v>
      </c>
      <c r="F41" s="1196"/>
      <c r="G41" s="1196"/>
      <c r="H41" s="1196"/>
      <c r="I41" s="1196"/>
      <c r="J41" s="1196"/>
      <c r="K41" s="1196"/>
      <c r="L41" s="1196"/>
      <c r="M41" s="1196"/>
      <c r="N41" s="1197"/>
      <c r="O41" s="627"/>
      <c r="P41" s="627"/>
      <c r="Q41" s="627"/>
      <c r="R41" s="627"/>
      <c r="S41" s="627"/>
      <c r="T41" s="627"/>
      <c r="U41" s="627"/>
      <c r="V41" s="627"/>
      <c r="W41" s="627"/>
      <c r="X41" s="627"/>
      <c r="Y41" s="627"/>
      <c r="Z41" s="627"/>
      <c r="AA41" s="627"/>
    </row>
    <row r="42" spans="2:27" ht="15" hidden="1" customHeight="1">
      <c r="B42" s="649" t="s">
        <v>848</v>
      </c>
      <c r="C42" s="639" t="s">
        <v>852</v>
      </c>
      <c r="D42" s="641" t="s">
        <v>850</v>
      </c>
      <c r="E42" s="1189" t="s">
        <v>849</v>
      </c>
      <c r="F42" s="1190"/>
      <c r="G42" s="1190"/>
      <c r="H42" s="1190"/>
      <c r="I42" s="1190"/>
      <c r="J42" s="1190"/>
      <c r="K42" s="1190"/>
      <c r="L42" s="1190"/>
      <c r="M42" s="1190"/>
      <c r="N42" s="1191"/>
      <c r="O42" s="627"/>
      <c r="P42" s="627"/>
      <c r="Q42" s="627"/>
      <c r="R42" s="627"/>
      <c r="S42" s="627"/>
      <c r="T42" s="627"/>
      <c r="U42" s="627"/>
      <c r="V42" s="627"/>
      <c r="W42" s="627"/>
      <c r="X42" s="627"/>
      <c r="Y42" s="627"/>
      <c r="Z42" s="627"/>
      <c r="AA42" s="627"/>
    </row>
    <row r="43" spans="2:27" ht="15" hidden="1" customHeight="1">
      <c r="B43" s="647" t="s">
        <v>809</v>
      </c>
      <c r="C43" s="638" t="s">
        <v>852</v>
      </c>
      <c r="D43" s="641" t="s">
        <v>811</v>
      </c>
      <c r="E43" s="1192" t="s">
        <v>810</v>
      </c>
      <c r="F43" s="1193"/>
      <c r="G43" s="1193"/>
      <c r="H43" s="1193"/>
      <c r="I43" s="1193"/>
      <c r="J43" s="1193"/>
      <c r="K43" s="1193"/>
      <c r="L43" s="1193"/>
      <c r="M43" s="1193"/>
      <c r="N43" s="1194"/>
      <c r="O43" s="627"/>
      <c r="P43" s="627"/>
      <c r="Q43" s="627"/>
      <c r="R43" s="627"/>
      <c r="S43" s="627"/>
      <c r="T43" s="627"/>
      <c r="U43" s="627"/>
      <c r="V43" s="627"/>
      <c r="W43" s="627"/>
      <c r="X43" s="627"/>
      <c r="Y43" s="627"/>
      <c r="Z43" s="627"/>
      <c r="AA43" s="627"/>
    </row>
    <row r="44" spans="2:27" ht="15" hidden="1" customHeight="1">
      <c r="B44" s="650" t="s">
        <v>798</v>
      </c>
      <c r="C44" s="628" t="s">
        <v>792</v>
      </c>
      <c r="D44" s="634" t="s">
        <v>800</v>
      </c>
      <c r="E44" s="1192" t="s">
        <v>799</v>
      </c>
      <c r="F44" s="1193"/>
      <c r="G44" s="1193"/>
      <c r="H44" s="1193"/>
      <c r="I44" s="1193"/>
      <c r="J44" s="1193"/>
      <c r="K44" s="1193"/>
      <c r="L44" s="1193"/>
      <c r="M44" s="1193"/>
      <c r="N44" s="1194"/>
      <c r="O44" s="627"/>
      <c r="P44" s="627"/>
      <c r="Q44" s="627"/>
      <c r="R44" s="627"/>
      <c r="S44" s="627"/>
      <c r="T44" s="627"/>
      <c r="U44" s="627"/>
      <c r="V44" s="627"/>
      <c r="W44" s="627"/>
      <c r="X44" s="627"/>
      <c r="Y44" s="627"/>
      <c r="Z44" s="627"/>
      <c r="AA44" s="627"/>
    </row>
    <row r="45" spans="2:27" ht="15" hidden="1" customHeight="1">
      <c r="B45" s="653" t="s">
        <v>801</v>
      </c>
      <c r="C45" s="628" t="s">
        <v>792</v>
      </c>
      <c r="D45" s="634" t="s">
        <v>803</v>
      </c>
      <c r="E45" s="1192" t="s">
        <v>802</v>
      </c>
      <c r="F45" s="1193"/>
      <c r="G45" s="1193"/>
      <c r="H45" s="1193"/>
      <c r="I45" s="1193"/>
      <c r="J45" s="1193"/>
      <c r="K45" s="1193"/>
      <c r="L45" s="1193"/>
      <c r="M45" s="1193"/>
      <c r="N45" s="1194"/>
      <c r="O45" s="627"/>
      <c r="P45" s="627"/>
      <c r="Q45" s="627"/>
      <c r="R45" s="627"/>
      <c r="S45" s="627"/>
      <c r="T45" s="627"/>
      <c r="U45" s="627"/>
      <c r="V45" s="627"/>
      <c r="W45" s="627"/>
      <c r="X45" s="627"/>
      <c r="Y45" s="627"/>
      <c r="Z45" s="627"/>
      <c r="AA45" s="627"/>
    </row>
    <row r="46" spans="2:27" ht="15" hidden="1" customHeight="1">
      <c r="B46" s="653" t="s">
        <v>812</v>
      </c>
      <c r="C46" s="628" t="s">
        <v>792</v>
      </c>
      <c r="D46" s="634" t="s">
        <v>814</v>
      </c>
      <c r="E46" s="1192" t="s">
        <v>813</v>
      </c>
      <c r="F46" s="1193"/>
      <c r="G46" s="1193"/>
      <c r="H46" s="1193"/>
      <c r="I46" s="1193"/>
      <c r="J46" s="1193"/>
      <c r="K46" s="1193"/>
      <c r="L46" s="1193"/>
      <c r="M46" s="1193"/>
      <c r="N46" s="1194"/>
      <c r="O46" s="627"/>
      <c r="P46" s="627"/>
      <c r="Q46" s="627"/>
      <c r="R46" s="627"/>
      <c r="S46" s="627"/>
      <c r="T46" s="627"/>
      <c r="U46" s="627"/>
      <c r="V46" s="627"/>
      <c r="W46" s="627"/>
      <c r="X46" s="627"/>
      <c r="Y46" s="627"/>
      <c r="Z46" s="627"/>
      <c r="AA46" s="627"/>
    </row>
    <row r="47" spans="2:27" ht="15" hidden="1" customHeight="1">
      <c r="B47" s="653" t="s">
        <v>815</v>
      </c>
      <c r="C47" s="628" t="s">
        <v>792</v>
      </c>
      <c r="D47" s="634" t="s">
        <v>814</v>
      </c>
      <c r="E47" s="1192" t="s">
        <v>813</v>
      </c>
      <c r="F47" s="1193"/>
      <c r="G47" s="1193"/>
      <c r="H47" s="1193"/>
      <c r="I47" s="1193"/>
      <c r="J47" s="1193"/>
      <c r="K47" s="1193"/>
      <c r="L47" s="1193"/>
      <c r="M47" s="1193"/>
      <c r="N47" s="1194"/>
      <c r="O47" s="627"/>
      <c r="P47" s="627"/>
      <c r="Q47" s="627"/>
      <c r="R47" s="627"/>
      <c r="S47" s="627"/>
      <c r="T47" s="627"/>
      <c r="U47" s="627"/>
      <c r="V47" s="627"/>
      <c r="W47" s="627"/>
      <c r="X47" s="627"/>
      <c r="Y47" s="627"/>
      <c r="Z47" s="627"/>
      <c r="AA47" s="627"/>
    </row>
    <row r="48" spans="2:27" ht="15" hidden="1" customHeight="1">
      <c r="B48" s="653" t="s">
        <v>816</v>
      </c>
      <c r="C48" s="628" t="s">
        <v>792</v>
      </c>
      <c r="D48" s="634" t="s">
        <v>814</v>
      </c>
      <c r="E48" s="1192" t="s">
        <v>813</v>
      </c>
      <c r="F48" s="1193"/>
      <c r="G48" s="1193"/>
      <c r="H48" s="1193"/>
      <c r="I48" s="1193"/>
      <c r="J48" s="1193"/>
      <c r="K48" s="1193"/>
      <c r="L48" s="1193"/>
      <c r="M48" s="1193"/>
      <c r="N48" s="1194"/>
      <c r="O48" s="627"/>
      <c r="P48" s="627"/>
      <c r="Q48" s="627"/>
      <c r="R48" s="627"/>
      <c r="S48" s="627"/>
      <c r="T48" s="627"/>
      <c r="U48" s="627"/>
      <c r="V48" s="627"/>
      <c r="W48" s="627"/>
      <c r="X48" s="627"/>
      <c r="Y48" s="627"/>
      <c r="Z48" s="627"/>
      <c r="AA48" s="627"/>
    </row>
    <row r="49" spans="2:27" ht="15" hidden="1" customHeight="1">
      <c r="B49" s="653" t="s">
        <v>817</v>
      </c>
      <c r="C49" s="628" t="s">
        <v>792</v>
      </c>
      <c r="D49" s="634" t="s">
        <v>814</v>
      </c>
      <c r="E49" s="1192" t="s">
        <v>813</v>
      </c>
      <c r="F49" s="1193"/>
      <c r="G49" s="1193"/>
      <c r="H49" s="1193"/>
      <c r="I49" s="1193"/>
      <c r="J49" s="1193"/>
      <c r="K49" s="1193"/>
      <c r="L49" s="1193"/>
      <c r="M49" s="1193"/>
      <c r="N49" s="1194"/>
      <c r="O49" s="627"/>
      <c r="P49" s="627"/>
      <c r="Q49" s="627"/>
      <c r="R49" s="627"/>
      <c r="S49" s="627"/>
      <c r="T49" s="627"/>
      <c r="U49" s="627"/>
      <c r="V49" s="627"/>
      <c r="W49" s="627"/>
      <c r="X49" s="627"/>
      <c r="Y49" s="627"/>
      <c r="Z49" s="627"/>
      <c r="AA49" s="627"/>
    </row>
    <row r="50" spans="2:27" ht="15" hidden="1" customHeight="1">
      <c r="B50" s="653" t="s">
        <v>818</v>
      </c>
      <c r="C50" s="628" t="s">
        <v>792</v>
      </c>
      <c r="D50" s="634" t="s">
        <v>814</v>
      </c>
      <c r="E50" s="1192" t="s">
        <v>813</v>
      </c>
      <c r="F50" s="1193"/>
      <c r="G50" s="1193"/>
      <c r="H50" s="1193"/>
      <c r="I50" s="1193"/>
      <c r="J50" s="1193"/>
      <c r="K50" s="1193"/>
      <c r="L50" s="1193"/>
      <c r="M50" s="1193"/>
      <c r="N50" s="1194"/>
      <c r="O50" s="627"/>
      <c r="P50" s="627"/>
      <c r="Q50" s="627"/>
      <c r="R50" s="627"/>
      <c r="S50" s="627"/>
      <c r="T50" s="627"/>
      <c r="U50" s="627"/>
      <c r="V50" s="627"/>
      <c r="W50" s="627"/>
      <c r="X50" s="627"/>
      <c r="Y50" s="627"/>
      <c r="Z50" s="627"/>
      <c r="AA50" s="627"/>
    </row>
    <row r="51" spans="2:27" ht="15" hidden="1" customHeight="1">
      <c r="B51" s="653" t="s">
        <v>819</v>
      </c>
      <c r="C51" s="628" t="s">
        <v>792</v>
      </c>
      <c r="D51" s="634" t="s">
        <v>814</v>
      </c>
      <c r="E51" s="1192" t="s">
        <v>813</v>
      </c>
      <c r="F51" s="1193"/>
      <c r="G51" s="1193"/>
      <c r="H51" s="1193"/>
      <c r="I51" s="1193"/>
      <c r="J51" s="1193"/>
      <c r="K51" s="1193"/>
      <c r="L51" s="1193"/>
      <c r="M51" s="1193"/>
      <c r="N51" s="1194"/>
      <c r="O51" s="627"/>
      <c r="P51" s="627"/>
      <c r="Q51" s="627"/>
      <c r="R51" s="627"/>
      <c r="S51" s="627"/>
      <c r="T51" s="627"/>
      <c r="U51" s="627"/>
      <c r="V51" s="627"/>
      <c r="W51" s="627"/>
      <c r="X51" s="627"/>
      <c r="Y51" s="627"/>
      <c r="Z51" s="627"/>
      <c r="AA51" s="627"/>
    </row>
    <row r="52" spans="2:27" ht="15" hidden="1" customHeight="1">
      <c r="B52" s="654" t="s">
        <v>827</v>
      </c>
      <c r="C52" s="631" t="s">
        <v>792</v>
      </c>
      <c r="D52" s="634" t="s">
        <v>829</v>
      </c>
      <c r="E52" s="1189" t="s">
        <v>828</v>
      </c>
      <c r="F52" s="1190"/>
      <c r="G52" s="1190"/>
      <c r="H52" s="1190"/>
      <c r="I52" s="1190"/>
      <c r="J52" s="1190"/>
      <c r="K52" s="1190"/>
      <c r="L52" s="1190"/>
      <c r="M52" s="1190"/>
      <c r="N52" s="1191"/>
      <c r="O52" s="627"/>
      <c r="P52" s="627"/>
      <c r="Q52" s="627"/>
      <c r="R52" s="627"/>
      <c r="S52" s="627"/>
      <c r="T52" s="627"/>
      <c r="U52" s="627"/>
      <c r="V52" s="627"/>
      <c r="W52" s="627"/>
      <c r="X52" s="627"/>
      <c r="Y52" s="627"/>
      <c r="Z52" s="627"/>
      <c r="AA52" s="627"/>
    </row>
    <row r="53" spans="2:27" ht="15" hidden="1" customHeight="1">
      <c r="B53" s="653" t="s">
        <v>794</v>
      </c>
      <c r="C53" s="629" t="s">
        <v>795</v>
      </c>
      <c r="D53" s="634" t="s">
        <v>797</v>
      </c>
      <c r="E53" s="1192" t="s">
        <v>796</v>
      </c>
      <c r="F53" s="1193"/>
      <c r="G53" s="1193"/>
      <c r="H53" s="1193"/>
      <c r="I53" s="1193"/>
      <c r="J53" s="1193"/>
      <c r="K53" s="1193"/>
      <c r="L53" s="1193"/>
      <c r="M53" s="1193"/>
      <c r="N53" s="1194"/>
      <c r="O53" s="627"/>
      <c r="P53" s="627"/>
      <c r="Q53" s="627"/>
      <c r="R53" s="627"/>
      <c r="S53" s="627"/>
      <c r="T53" s="627"/>
      <c r="U53" s="627"/>
      <c r="V53" s="627"/>
      <c r="W53" s="627"/>
      <c r="X53" s="627"/>
      <c r="Y53" s="627"/>
      <c r="Z53" s="627"/>
      <c r="AA53" s="627"/>
    </row>
    <row r="54" spans="2:27" ht="15" hidden="1" customHeight="1">
      <c r="B54" s="653" t="s">
        <v>804</v>
      </c>
      <c r="C54" s="629" t="s">
        <v>795</v>
      </c>
      <c r="D54" s="634" t="s">
        <v>806</v>
      </c>
      <c r="E54" s="1192" t="s">
        <v>805</v>
      </c>
      <c r="F54" s="1193"/>
      <c r="G54" s="1193"/>
      <c r="H54" s="1193"/>
      <c r="I54" s="1193"/>
      <c r="J54" s="1193"/>
      <c r="K54" s="1193"/>
      <c r="L54" s="1193"/>
      <c r="M54" s="1193"/>
      <c r="N54" s="1194"/>
      <c r="O54" s="627"/>
      <c r="P54" s="627"/>
      <c r="Q54" s="627"/>
      <c r="R54" s="627"/>
      <c r="S54" s="627"/>
      <c r="T54" s="627"/>
      <c r="U54" s="627"/>
      <c r="V54" s="627"/>
      <c r="W54" s="627"/>
      <c r="X54" s="627"/>
      <c r="Y54" s="627"/>
      <c r="Z54" s="627"/>
      <c r="AA54" s="627"/>
    </row>
    <row r="55" spans="2:27" ht="15" hidden="1" customHeight="1">
      <c r="B55" s="653" t="s">
        <v>807</v>
      </c>
      <c r="C55" s="629" t="s">
        <v>795</v>
      </c>
      <c r="D55" s="634" t="s">
        <v>137</v>
      </c>
      <c r="E55" s="1192" t="s">
        <v>808</v>
      </c>
      <c r="F55" s="1193"/>
      <c r="G55" s="1193"/>
      <c r="H55" s="1193"/>
      <c r="I55" s="1193"/>
      <c r="J55" s="1193"/>
      <c r="K55" s="1193"/>
      <c r="L55" s="1193"/>
      <c r="M55" s="1193"/>
      <c r="N55" s="1194"/>
      <c r="O55" s="627"/>
      <c r="P55" s="627"/>
      <c r="Q55" s="627"/>
      <c r="R55" s="627"/>
      <c r="S55" s="627"/>
      <c r="T55" s="627"/>
      <c r="U55" s="627"/>
      <c r="V55" s="627"/>
      <c r="W55" s="627"/>
      <c r="X55" s="627"/>
      <c r="Y55" s="627"/>
      <c r="Z55" s="627"/>
      <c r="AA55" s="627"/>
    </row>
    <row r="56" spans="2:27" ht="15" hidden="1" customHeight="1">
      <c r="B56" s="653" t="s">
        <v>825</v>
      </c>
      <c r="C56" s="629" t="s">
        <v>795</v>
      </c>
      <c r="D56" s="634" t="s">
        <v>811</v>
      </c>
      <c r="E56" s="1192" t="s">
        <v>826</v>
      </c>
      <c r="F56" s="1193"/>
      <c r="G56" s="1193"/>
      <c r="H56" s="1193"/>
      <c r="I56" s="1193"/>
      <c r="J56" s="1193"/>
      <c r="K56" s="1193"/>
      <c r="L56" s="1193"/>
      <c r="M56" s="1193"/>
      <c r="N56" s="1194"/>
      <c r="O56" s="627"/>
      <c r="P56" s="627"/>
      <c r="Q56" s="627"/>
      <c r="R56" s="627"/>
      <c r="S56" s="627"/>
      <c r="T56" s="627"/>
      <c r="U56" s="627"/>
      <c r="V56" s="627"/>
      <c r="W56" s="627"/>
      <c r="X56" s="627"/>
      <c r="Y56" s="627"/>
      <c r="Z56" s="627"/>
      <c r="AA56" s="627"/>
    </row>
    <row r="57" spans="2:27" ht="15" hidden="1" customHeight="1">
      <c r="B57" s="653" t="s">
        <v>830</v>
      </c>
      <c r="C57" s="629" t="s">
        <v>795</v>
      </c>
      <c r="D57" s="634" t="s">
        <v>137</v>
      </c>
      <c r="E57" s="1192" t="s">
        <v>831</v>
      </c>
      <c r="F57" s="1193"/>
      <c r="G57" s="1193"/>
      <c r="H57" s="1193"/>
      <c r="I57" s="1193"/>
      <c r="J57" s="1193"/>
      <c r="K57" s="1193"/>
      <c r="L57" s="1193"/>
      <c r="M57" s="1193"/>
      <c r="N57" s="1194"/>
      <c r="O57" s="627"/>
      <c r="P57" s="627"/>
      <c r="Q57" s="627"/>
      <c r="R57" s="627"/>
      <c r="S57" s="627"/>
      <c r="T57" s="627"/>
      <c r="U57" s="627"/>
      <c r="V57" s="627"/>
      <c r="W57" s="627"/>
      <c r="X57" s="627"/>
      <c r="Y57" s="627"/>
      <c r="Z57" s="627"/>
      <c r="AA57" s="627"/>
    </row>
    <row r="58" spans="2:27" ht="15" hidden="1" customHeight="1">
      <c r="B58" s="655" t="s">
        <v>840</v>
      </c>
      <c r="C58" s="633" t="s">
        <v>795</v>
      </c>
      <c r="D58" s="636" t="s">
        <v>137</v>
      </c>
      <c r="E58" s="1195" t="s">
        <v>841</v>
      </c>
      <c r="F58" s="1196"/>
      <c r="G58" s="1196"/>
      <c r="H58" s="1196"/>
      <c r="I58" s="1196"/>
      <c r="J58" s="1196"/>
      <c r="K58" s="1196"/>
      <c r="L58" s="1196"/>
      <c r="M58" s="1196"/>
      <c r="N58" s="1197"/>
      <c r="O58" s="627"/>
      <c r="P58" s="627"/>
      <c r="Q58" s="627"/>
      <c r="R58" s="627"/>
      <c r="S58" s="627"/>
      <c r="T58" s="627"/>
      <c r="U58" s="627"/>
      <c r="V58" s="627"/>
      <c r="W58" s="627"/>
      <c r="X58" s="627"/>
      <c r="Y58" s="627"/>
      <c r="Z58" s="627"/>
      <c r="AA58" s="627"/>
    </row>
    <row r="59" spans="2:27" ht="15" hidden="1" customHeight="1">
      <c r="B59" s="653" t="s">
        <v>832</v>
      </c>
      <c r="C59" s="629" t="s">
        <v>833</v>
      </c>
      <c r="D59" s="634" t="s">
        <v>829</v>
      </c>
      <c r="E59" s="1192" t="s">
        <v>834</v>
      </c>
      <c r="F59" s="1193"/>
      <c r="G59" s="1193"/>
      <c r="H59" s="1193"/>
      <c r="I59" s="1193"/>
      <c r="J59" s="1193"/>
      <c r="K59" s="1193"/>
      <c r="L59" s="1193"/>
      <c r="M59" s="1193"/>
      <c r="N59" s="1194"/>
      <c r="O59" s="627"/>
      <c r="P59" s="627"/>
      <c r="Q59" s="627"/>
      <c r="R59" s="627"/>
      <c r="S59" s="627"/>
      <c r="T59" s="627"/>
      <c r="U59" s="627"/>
      <c r="V59" s="627"/>
      <c r="W59" s="627"/>
      <c r="X59" s="627"/>
      <c r="Y59" s="627"/>
      <c r="Z59" s="627"/>
      <c r="AA59" s="627"/>
    </row>
    <row r="60" spans="2:27" ht="15" hidden="1" customHeight="1">
      <c r="B60" s="653" t="s">
        <v>835</v>
      </c>
      <c r="C60" s="629" t="s">
        <v>833</v>
      </c>
      <c r="D60" s="634" t="s">
        <v>829</v>
      </c>
      <c r="E60" s="1192" t="s">
        <v>836</v>
      </c>
      <c r="F60" s="1193"/>
      <c r="G60" s="1193"/>
      <c r="H60" s="1193"/>
      <c r="I60" s="1193"/>
      <c r="J60" s="1193"/>
      <c r="K60" s="1193"/>
      <c r="L60" s="1193"/>
      <c r="M60" s="1193"/>
      <c r="N60" s="1194"/>
      <c r="O60" s="627"/>
      <c r="P60" s="627"/>
      <c r="Q60" s="627"/>
      <c r="R60" s="627"/>
      <c r="S60" s="627"/>
      <c r="T60" s="627"/>
      <c r="U60" s="627"/>
      <c r="V60" s="627"/>
      <c r="W60" s="627"/>
      <c r="X60" s="627"/>
      <c r="Y60" s="627"/>
      <c r="Z60" s="627"/>
      <c r="AA60" s="627"/>
    </row>
    <row r="61" spans="2:27" ht="15" hidden="1" customHeight="1">
      <c r="B61" s="653" t="s">
        <v>822</v>
      </c>
      <c r="C61" s="630" t="s">
        <v>823</v>
      </c>
      <c r="D61" s="634" t="s">
        <v>811</v>
      </c>
      <c r="E61" s="1192" t="s">
        <v>824</v>
      </c>
      <c r="F61" s="1193"/>
      <c r="G61" s="1193"/>
      <c r="H61" s="1193"/>
      <c r="I61" s="1193"/>
      <c r="J61" s="1193"/>
      <c r="K61" s="1193"/>
      <c r="L61" s="1193"/>
      <c r="M61" s="1193"/>
      <c r="N61" s="1194"/>
      <c r="O61" s="627"/>
      <c r="P61" s="627"/>
      <c r="Q61" s="627"/>
      <c r="R61" s="627"/>
      <c r="S61" s="627"/>
      <c r="T61" s="627"/>
      <c r="U61" s="627"/>
      <c r="V61" s="627"/>
      <c r="W61" s="627"/>
      <c r="X61" s="627"/>
      <c r="Y61" s="627"/>
      <c r="Z61" s="627"/>
      <c r="AA61" s="627"/>
    </row>
    <row r="62" spans="2:27" ht="15" hidden="1" customHeight="1">
      <c r="B62" s="655" t="s">
        <v>837</v>
      </c>
      <c r="C62" s="632" t="s">
        <v>838</v>
      </c>
      <c r="D62" s="636" t="s">
        <v>137</v>
      </c>
      <c r="E62" s="1195" t="s">
        <v>839</v>
      </c>
      <c r="F62" s="1196"/>
      <c r="G62" s="1196"/>
      <c r="H62" s="1196"/>
      <c r="I62" s="1196"/>
      <c r="J62" s="1196"/>
      <c r="K62" s="1196"/>
      <c r="L62" s="1196"/>
      <c r="M62" s="1196"/>
      <c r="N62" s="1197"/>
      <c r="O62" s="627"/>
      <c r="P62" s="627"/>
      <c r="Q62" s="627"/>
      <c r="R62" s="627"/>
      <c r="S62" s="627"/>
      <c r="T62" s="627"/>
      <c r="U62" s="627"/>
      <c r="V62" s="627"/>
      <c r="W62" s="627"/>
      <c r="X62" s="627"/>
      <c r="Y62" s="627"/>
      <c r="Z62" s="627"/>
      <c r="AA62" s="627"/>
    </row>
    <row r="63" spans="2:27" ht="15" hidden="1" customHeight="1">
      <c r="B63" s="651" t="s">
        <v>844</v>
      </c>
      <c r="C63" s="632" t="s">
        <v>838</v>
      </c>
      <c r="D63" s="636" t="s">
        <v>137</v>
      </c>
      <c r="E63" s="1195" t="s">
        <v>845</v>
      </c>
      <c r="F63" s="1196"/>
      <c r="G63" s="1196"/>
      <c r="H63" s="1196"/>
      <c r="I63" s="1196"/>
      <c r="J63" s="1196"/>
      <c r="K63" s="1196"/>
      <c r="L63" s="1196"/>
      <c r="M63" s="1196"/>
      <c r="N63" s="1197"/>
      <c r="O63" s="627"/>
      <c r="P63" s="627"/>
      <c r="Q63" s="627"/>
      <c r="R63" s="627"/>
      <c r="S63" s="627"/>
      <c r="T63" s="627"/>
      <c r="U63" s="627"/>
      <c r="V63" s="627"/>
      <c r="W63" s="627"/>
      <c r="X63" s="627"/>
      <c r="Y63" s="627"/>
      <c r="Z63" s="627"/>
      <c r="AA63" s="627"/>
    </row>
    <row r="64" spans="2:27" ht="15" hidden="1" customHeight="1">
      <c r="B64" s="652" t="s">
        <v>846</v>
      </c>
      <c r="C64" s="632" t="s">
        <v>838</v>
      </c>
      <c r="D64" s="635" t="s">
        <v>137</v>
      </c>
      <c r="E64" s="1189" t="s">
        <v>847</v>
      </c>
      <c r="F64" s="1190"/>
      <c r="G64" s="1190"/>
      <c r="H64" s="1190"/>
      <c r="I64" s="1190"/>
      <c r="J64" s="1190"/>
      <c r="K64" s="1190"/>
      <c r="L64" s="1190"/>
      <c r="M64" s="1190"/>
      <c r="N64" s="1191"/>
      <c r="O64" s="627"/>
      <c r="P64" s="627"/>
      <c r="Q64" s="627"/>
      <c r="R64" s="627"/>
      <c r="S64" s="627"/>
      <c r="T64" s="627"/>
      <c r="U64" s="627"/>
      <c r="V64" s="627"/>
      <c r="W64" s="627"/>
      <c r="X64" s="627"/>
      <c r="Y64" s="627"/>
      <c r="Z64" s="627"/>
      <c r="AA64" s="627"/>
    </row>
    <row r="66" spans="2:12" ht="15" customHeight="1">
      <c r="B66" s="1"/>
      <c r="C66" s="1"/>
      <c r="D66" s="1"/>
      <c r="E66" s="13" t="s">
        <v>926</v>
      </c>
      <c r="F66" s="13" t="s">
        <v>927</v>
      </c>
      <c r="G66" s="1"/>
      <c r="H66" s="13" t="s">
        <v>928</v>
      </c>
      <c r="I66" s="1"/>
    </row>
    <row r="67" spans="2:12" ht="15" customHeight="1">
      <c r="B67" s="13" t="s">
        <v>872</v>
      </c>
      <c r="C67" s="13" t="s">
        <v>789</v>
      </c>
      <c r="D67" s="13" t="s">
        <v>929</v>
      </c>
      <c r="E67" s="13" t="s">
        <v>930</v>
      </c>
      <c r="F67" s="13" t="s">
        <v>931</v>
      </c>
      <c r="G67" s="13" t="s">
        <v>932</v>
      </c>
      <c r="H67" s="13" t="s">
        <v>931</v>
      </c>
      <c r="I67" s="13" t="s">
        <v>933</v>
      </c>
      <c r="J67" s="13" t="s">
        <v>934</v>
      </c>
      <c r="K67" s="13" t="s">
        <v>935</v>
      </c>
      <c r="L67" s="13" t="s">
        <v>255</v>
      </c>
    </row>
    <row r="68" spans="2:12" ht="15" customHeight="1">
      <c r="B68" s="1" t="s">
        <v>936</v>
      </c>
      <c r="C68" s="1" t="s">
        <v>937</v>
      </c>
      <c r="D68" s="1" t="s">
        <v>938</v>
      </c>
      <c r="E68" s="977">
        <v>10000</v>
      </c>
      <c r="F68" s="977">
        <v>40000</v>
      </c>
      <c r="G68" s="977">
        <v>40000</v>
      </c>
      <c r="H68" s="1" t="s">
        <v>939</v>
      </c>
      <c r="I68" s="1">
        <v>3</v>
      </c>
      <c r="J68" s="977">
        <v>600000</v>
      </c>
      <c r="K68" s="977">
        <v>5725000</v>
      </c>
      <c r="L68" s="1"/>
    </row>
    <row r="69" spans="2:12" ht="15" customHeight="1">
      <c r="B69" s="1" t="s">
        <v>801</v>
      </c>
      <c r="C69" s="1" t="s">
        <v>940</v>
      </c>
      <c r="D69" s="1" t="s">
        <v>938</v>
      </c>
      <c r="E69" s="977">
        <v>25000</v>
      </c>
      <c r="F69" s="977">
        <v>125000</v>
      </c>
      <c r="G69" s="977">
        <v>125000</v>
      </c>
      <c r="H69" s="1" t="s">
        <v>939</v>
      </c>
      <c r="I69" s="1">
        <v>3</v>
      </c>
      <c r="J69" s="977">
        <v>1800000</v>
      </c>
      <c r="K69" s="977">
        <v>10000000</v>
      </c>
      <c r="L69" s="1" t="s">
        <v>19</v>
      </c>
    </row>
    <row r="70" spans="2:12" ht="15" customHeight="1">
      <c r="B70" s="1" t="s">
        <v>941</v>
      </c>
      <c r="C70" s="1" t="s">
        <v>942</v>
      </c>
      <c r="D70" s="1" t="s">
        <v>938</v>
      </c>
      <c r="E70" s="977">
        <v>10000</v>
      </c>
      <c r="F70" s="977">
        <v>40000</v>
      </c>
      <c r="G70" s="977">
        <v>40000</v>
      </c>
      <c r="H70" s="1" t="s">
        <v>939</v>
      </c>
      <c r="I70" s="1">
        <v>3</v>
      </c>
      <c r="J70" s="285">
        <v>1250000</v>
      </c>
      <c r="K70" s="977">
        <v>5000000</v>
      </c>
      <c r="L70" s="1"/>
    </row>
    <row r="71" spans="2:12" ht="1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ht="15" customHeight="1">
      <c r="B72" s="1" t="s">
        <v>943</v>
      </c>
      <c r="C72" s="1" t="s">
        <v>944</v>
      </c>
      <c r="D72" s="1" t="s">
        <v>945</v>
      </c>
      <c r="E72" s="977">
        <v>25000</v>
      </c>
      <c r="F72" s="977">
        <v>50000</v>
      </c>
      <c r="G72" s="977">
        <v>100000</v>
      </c>
      <c r="H72" s="977">
        <v>250000</v>
      </c>
      <c r="I72" s="979" t="s">
        <v>989</v>
      </c>
      <c r="J72" s="285">
        <v>3460000</v>
      </c>
      <c r="K72" s="285">
        <v>5725000</v>
      </c>
      <c r="L72" s="1"/>
    </row>
    <row r="73" spans="2:12" ht="15" customHeight="1">
      <c r="B73" s="1" t="s">
        <v>943</v>
      </c>
      <c r="C73" s="1" t="s">
        <v>946</v>
      </c>
      <c r="D73" s="1" t="s">
        <v>945</v>
      </c>
      <c r="E73" s="977">
        <v>25000</v>
      </c>
      <c r="F73" s="977">
        <v>50000</v>
      </c>
      <c r="G73" s="977">
        <v>100000</v>
      </c>
      <c r="H73" s="977">
        <v>250000</v>
      </c>
      <c r="I73" s="979" t="s">
        <v>989</v>
      </c>
      <c r="J73" s="977">
        <v>2400000</v>
      </c>
      <c r="K73" s="977">
        <v>14400000</v>
      </c>
      <c r="L73" s="1"/>
    </row>
    <row r="74" spans="2:12" ht="15" customHeight="1">
      <c r="B74" s="1" t="s">
        <v>943</v>
      </c>
      <c r="C74" s="1" t="s">
        <v>947</v>
      </c>
      <c r="D74" s="1" t="s">
        <v>945</v>
      </c>
      <c r="E74" s="977">
        <v>100000</v>
      </c>
      <c r="F74" s="977">
        <v>250000</v>
      </c>
      <c r="G74" s="977">
        <v>250000</v>
      </c>
      <c r="H74" s="977">
        <v>1500000</v>
      </c>
      <c r="I74" s="979" t="s">
        <v>989</v>
      </c>
      <c r="J74" s="977">
        <v>2400000</v>
      </c>
      <c r="K74" s="285">
        <v>14500000</v>
      </c>
      <c r="L74" s="1"/>
    </row>
    <row r="75" spans="2:12" ht="15" customHeight="1">
      <c r="B75" s="1" t="s">
        <v>943</v>
      </c>
      <c r="C75" s="1" t="s">
        <v>948</v>
      </c>
      <c r="D75" s="1" t="s">
        <v>945</v>
      </c>
      <c r="E75" s="977">
        <v>25000</v>
      </c>
      <c r="F75" s="977">
        <v>50000</v>
      </c>
      <c r="G75" s="977">
        <v>50000</v>
      </c>
      <c r="H75" s="977">
        <v>100000</v>
      </c>
      <c r="I75" s="979" t="s">
        <v>989</v>
      </c>
      <c r="J75" s="285">
        <v>915000</v>
      </c>
      <c r="K75" s="285">
        <v>6485000</v>
      </c>
      <c r="L75" s="1"/>
    </row>
    <row r="76" spans="2:12" ht="15" customHeight="1">
      <c r="B76" s="1" t="s">
        <v>949</v>
      </c>
      <c r="C76" s="1" t="s">
        <v>950</v>
      </c>
      <c r="D76" s="1" t="s">
        <v>951</v>
      </c>
      <c r="E76" s="977">
        <v>100000</v>
      </c>
      <c r="F76" s="977">
        <v>200000</v>
      </c>
      <c r="G76" s="977">
        <v>500000</v>
      </c>
      <c r="H76" s="977">
        <v>1000000</v>
      </c>
      <c r="I76" s="979" t="s">
        <v>989</v>
      </c>
      <c r="J76" s="1"/>
      <c r="K76" s="1"/>
      <c r="L76" s="1"/>
    </row>
    <row r="77" spans="2:12" ht="15" customHeight="1">
      <c r="B77" s="1" t="s">
        <v>952</v>
      </c>
      <c r="C77" s="1" t="s">
        <v>953</v>
      </c>
      <c r="D77" s="1" t="s">
        <v>951</v>
      </c>
      <c r="E77" s="977">
        <v>25000</v>
      </c>
      <c r="F77" s="977">
        <v>100000</v>
      </c>
      <c r="G77" s="977">
        <v>150000</v>
      </c>
      <c r="H77" s="977">
        <v>500000</v>
      </c>
      <c r="I77" s="979" t="s">
        <v>989</v>
      </c>
      <c r="J77" s="1"/>
      <c r="K77" s="1"/>
      <c r="L77" s="1"/>
    </row>
    <row r="78" spans="2:12" ht="15" customHeight="1">
      <c r="B78" s="1" t="s">
        <v>954</v>
      </c>
      <c r="C78" s="1" t="s">
        <v>954</v>
      </c>
      <c r="D78" s="1" t="s">
        <v>955</v>
      </c>
      <c r="E78" s="977">
        <v>20000</v>
      </c>
      <c r="F78" s="285">
        <v>50000</v>
      </c>
      <c r="G78" s="977">
        <v>100000</v>
      </c>
      <c r="H78" s="977">
        <v>150000</v>
      </c>
      <c r="I78" s="979" t="s">
        <v>989</v>
      </c>
      <c r="J78" s="1"/>
      <c r="K78" s="1"/>
      <c r="L78" s="1"/>
    </row>
    <row r="79" spans="2:12" ht="15" customHeight="1">
      <c r="B79" s="1" t="s">
        <v>956</v>
      </c>
      <c r="C79" s="1" t="s">
        <v>957</v>
      </c>
      <c r="D79" s="1" t="s">
        <v>958</v>
      </c>
      <c r="E79" s="977">
        <v>10000</v>
      </c>
      <c r="F79" s="977">
        <v>25000</v>
      </c>
      <c r="G79" s="977">
        <v>25000</v>
      </c>
      <c r="H79" s="977">
        <v>50000</v>
      </c>
      <c r="I79" s="979" t="s">
        <v>989</v>
      </c>
      <c r="J79" s="1"/>
      <c r="K79" s="1"/>
      <c r="L79" s="1"/>
    </row>
    <row r="80" spans="2:12" ht="15" customHeight="1">
      <c r="B80" s="1" t="s">
        <v>959</v>
      </c>
      <c r="C80" s="1" t="s">
        <v>960</v>
      </c>
      <c r="D80" s="1" t="s">
        <v>958</v>
      </c>
      <c r="E80" s="977">
        <v>25000</v>
      </c>
      <c r="F80" s="977">
        <v>50000</v>
      </c>
      <c r="G80" s="977">
        <v>150000</v>
      </c>
      <c r="H80" s="977">
        <v>150000</v>
      </c>
      <c r="I80" s="979" t="s">
        <v>989</v>
      </c>
      <c r="J80" s="1"/>
      <c r="K80" s="1"/>
      <c r="L80" s="1"/>
    </row>
    <row r="81" spans="2:12" ht="15" customHeight="1">
      <c r="B81" s="1" t="s">
        <v>961</v>
      </c>
      <c r="C81" s="1" t="s">
        <v>962</v>
      </c>
      <c r="D81" s="1" t="s">
        <v>955</v>
      </c>
      <c r="E81" s="977">
        <v>50000</v>
      </c>
      <c r="F81" s="977">
        <v>200000</v>
      </c>
      <c r="G81" s="977">
        <v>750000</v>
      </c>
      <c r="H81" s="977">
        <v>750000</v>
      </c>
      <c r="I81" s="979" t="s">
        <v>989</v>
      </c>
      <c r="J81" s="1"/>
      <c r="K81" s="1"/>
      <c r="L81" s="1"/>
    </row>
    <row r="82" spans="2:12" ht="15" customHeight="1">
      <c r="B82" s="1" t="s">
        <v>963</v>
      </c>
      <c r="C82" s="1" t="s">
        <v>964</v>
      </c>
      <c r="D82" s="1" t="s">
        <v>965</v>
      </c>
      <c r="E82" s="977">
        <v>10000</v>
      </c>
      <c r="F82" s="977">
        <v>20000</v>
      </c>
      <c r="G82" s="977">
        <v>25000</v>
      </c>
      <c r="H82" s="977">
        <v>100000</v>
      </c>
      <c r="I82" s="979" t="s">
        <v>989</v>
      </c>
      <c r="J82" s="1"/>
      <c r="K82" s="1"/>
      <c r="L82" s="1"/>
    </row>
    <row r="83" spans="2:12" ht="15" customHeight="1">
      <c r="B83" s="1" t="s">
        <v>966</v>
      </c>
      <c r="C83" s="1" t="s">
        <v>967</v>
      </c>
      <c r="D83" s="1" t="s">
        <v>951</v>
      </c>
      <c r="E83" s="977">
        <v>10000</v>
      </c>
      <c r="F83" s="977">
        <v>20000</v>
      </c>
      <c r="G83" s="977">
        <v>50000</v>
      </c>
      <c r="H83" s="977">
        <v>100000</v>
      </c>
      <c r="I83" s="979" t="s">
        <v>989</v>
      </c>
      <c r="J83" s="1"/>
      <c r="K83" s="1"/>
      <c r="L83" s="1"/>
    </row>
    <row r="84" spans="2:12" ht="15" customHeight="1">
      <c r="B84" s="1" t="s">
        <v>968</v>
      </c>
      <c r="C84" s="1" t="s">
        <v>969</v>
      </c>
      <c r="D84" s="1" t="s">
        <v>965</v>
      </c>
      <c r="E84" s="1" t="s">
        <v>137</v>
      </c>
      <c r="F84" s="1" t="s">
        <v>137</v>
      </c>
      <c r="G84" s="1" t="s">
        <v>137</v>
      </c>
      <c r="H84" s="1" t="s">
        <v>137</v>
      </c>
      <c r="I84" s="978"/>
      <c r="J84" s="1"/>
      <c r="K84" s="1"/>
      <c r="L84" s="1"/>
    </row>
    <row r="85" spans="2:12" ht="15" customHeight="1">
      <c r="B85" s="1" t="s">
        <v>970</v>
      </c>
      <c r="C85" s="1" t="s">
        <v>971</v>
      </c>
      <c r="D85" s="1" t="s">
        <v>965</v>
      </c>
      <c r="E85" s="977">
        <v>10000</v>
      </c>
      <c r="F85" s="977">
        <v>10000</v>
      </c>
      <c r="G85" s="977">
        <v>25000</v>
      </c>
      <c r="H85" s="977">
        <v>50000</v>
      </c>
      <c r="I85" s="979" t="s">
        <v>989</v>
      </c>
      <c r="J85" s="1"/>
      <c r="K85" s="1"/>
      <c r="L85" s="1"/>
    </row>
    <row r="86" spans="2:12" ht="15" customHeight="1">
      <c r="B86" s="1" t="s">
        <v>972</v>
      </c>
      <c r="C86" s="1" t="s">
        <v>972</v>
      </c>
      <c r="D86" s="1" t="s">
        <v>965</v>
      </c>
      <c r="E86" s="977">
        <v>10000</v>
      </c>
      <c r="F86" s="977">
        <v>25000</v>
      </c>
      <c r="G86" s="977">
        <v>50000</v>
      </c>
      <c r="H86" s="977">
        <v>100000</v>
      </c>
      <c r="I86" s="979" t="s">
        <v>989</v>
      </c>
      <c r="J86" s="1"/>
      <c r="K86" s="1"/>
      <c r="L86" s="1"/>
    </row>
    <row r="87" spans="2:12" ht="15" customHeight="1">
      <c r="B87" s="1" t="s">
        <v>973</v>
      </c>
      <c r="C87" s="1" t="s">
        <v>974</v>
      </c>
      <c r="D87" s="1" t="s">
        <v>965</v>
      </c>
      <c r="E87" s="977">
        <v>5000</v>
      </c>
      <c r="F87" s="977">
        <v>10000</v>
      </c>
      <c r="G87" s="977">
        <v>10000</v>
      </c>
      <c r="H87" s="977">
        <v>10000</v>
      </c>
      <c r="I87" s="979" t="s">
        <v>989</v>
      </c>
      <c r="J87" s="1"/>
      <c r="K87" s="1"/>
      <c r="L87" s="1"/>
    </row>
    <row r="88" spans="2:12" ht="15" customHeight="1">
      <c r="B88" s="1" t="s">
        <v>975</v>
      </c>
      <c r="C88" s="1" t="s">
        <v>976</v>
      </c>
      <c r="D88" s="1" t="s">
        <v>965</v>
      </c>
      <c r="E88" s="977">
        <v>10000</v>
      </c>
      <c r="F88" s="977">
        <v>25000</v>
      </c>
      <c r="G88" s="977">
        <v>25000</v>
      </c>
      <c r="H88" s="977">
        <v>100000</v>
      </c>
      <c r="I88" s="979" t="s">
        <v>990</v>
      </c>
      <c r="J88" s="1"/>
      <c r="K88" s="1"/>
      <c r="L88" s="1"/>
    </row>
    <row r="89" spans="2:12" ht="15" customHeight="1">
      <c r="B89" s="1" t="s">
        <v>977</v>
      </c>
      <c r="C89" s="1" t="s">
        <v>978</v>
      </c>
      <c r="D89" s="1" t="s">
        <v>965</v>
      </c>
      <c r="E89" s="977">
        <v>10000</v>
      </c>
      <c r="F89" s="977">
        <v>25000</v>
      </c>
      <c r="G89" s="977">
        <v>25000</v>
      </c>
      <c r="H89" s="977">
        <v>50000</v>
      </c>
      <c r="I89" s="978">
        <v>3</v>
      </c>
      <c r="J89" s="1"/>
      <c r="K89" s="1"/>
      <c r="L89" s="1"/>
    </row>
    <row r="90" spans="2:12" ht="15" customHeight="1">
      <c r="B90" s="1" t="s">
        <v>979</v>
      </c>
      <c r="C90" s="1" t="s">
        <v>980</v>
      </c>
      <c r="D90" s="1" t="s">
        <v>965</v>
      </c>
      <c r="E90" s="977">
        <v>10000</v>
      </c>
      <c r="F90" s="977">
        <v>20000</v>
      </c>
      <c r="G90" s="977">
        <v>25000</v>
      </c>
      <c r="H90" s="977">
        <v>100000</v>
      </c>
      <c r="I90" s="979" t="s">
        <v>989</v>
      </c>
      <c r="J90" s="1"/>
      <c r="K90" s="1"/>
      <c r="L90" s="1"/>
    </row>
    <row r="91" spans="2:12" ht="15" customHeight="1">
      <c r="B91" s="1" t="s">
        <v>981</v>
      </c>
      <c r="C91" s="1" t="s">
        <v>982</v>
      </c>
      <c r="D91" s="1" t="s">
        <v>983</v>
      </c>
      <c r="E91" s="977">
        <v>25000</v>
      </c>
      <c r="F91" s="977">
        <v>100000</v>
      </c>
      <c r="G91" s="977">
        <v>100000</v>
      </c>
      <c r="H91" s="977">
        <v>250000</v>
      </c>
      <c r="I91" s="979" t="s">
        <v>989</v>
      </c>
      <c r="J91" s="1"/>
      <c r="K91" s="1"/>
      <c r="L91" s="1"/>
    </row>
    <row r="92" spans="2:12" ht="15" customHeight="1">
      <c r="B92" s="1" t="s">
        <v>984</v>
      </c>
      <c r="C92" s="1" t="s">
        <v>984</v>
      </c>
      <c r="D92" s="1" t="s">
        <v>985</v>
      </c>
      <c r="E92" s="977">
        <v>25000</v>
      </c>
      <c r="F92" s="977">
        <v>50000</v>
      </c>
      <c r="G92" s="977">
        <v>100000</v>
      </c>
      <c r="H92" s="977">
        <v>250000</v>
      </c>
      <c r="I92" s="979" t="s">
        <v>989</v>
      </c>
      <c r="J92" s="1"/>
      <c r="K92" s="1"/>
      <c r="L92" s="1"/>
    </row>
    <row r="93" spans="2:12" ht="15" customHeight="1">
      <c r="B93" s="1" t="s">
        <v>986</v>
      </c>
      <c r="C93" s="1" t="s">
        <v>987</v>
      </c>
      <c r="D93" s="1" t="s">
        <v>983</v>
      </c>
      <c r="E93" s="977">
        <v>25000</v>
      </c>
      <c r="F93" s="977">
        <v>50000</v>
      </c>
      <c r="G93" s="977">
        <v>100000</v>
      </c>
      <c r="H93" s="977">
        <v>200000</v>
      </c>
      <c r="I93" s="979" t="s">
        <v>989</v>
      </c>
      <c r="J93" s="1"/>
      <c r="K93" s="1"/>
      <c r="L93" s="1"/>
    </row>
    <row r="94" spans="2:12" ht="1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ht="1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ht="1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1" ht="15" customHeight="1">
      <c r="B97" s="1" t="s">
        <v>943</v>
      </c>
      <c r="C97" s="1" t="s">
        <v>988</v>
      </c>
      <c r="D97" s="1"/>
      <c r="E97" s="1"/>
      <c r="F97" s="1"/>
      <c r="G97" s="1"/>
      <c r="H97" s="1"/>
      <c r="I97" s="1"/>
      <c r="J97" s="1"/>
      <c r="K97" s="1"/>
    </row>
  </sheetData>
  <sortState xmlns:xlrd2="http://schemas.microsoft.com/office/spreadsheetml/2017/richdata2" ref="B44:E64">
    <sortCondition ref="C44:C64"/>
  </sortState>
  <mergeCells count="34">
    <mergeCell ref="E63:N63"/>
    <mergeCell ref="E64:N64"/>
    <mergeCell ref="E37:N37"/>
    <mergeCell ref="E58:N58"/>
    <mergeCell ref="E59:N59"/>
    <mergeCell ref="E60:N60"/>
    <mergeCell ref="E61:N61"/>
    <mergeCell ref="E62:N62"/>
    <mergeCell ref="E53:N53"/>
    <mergeCell ref="E54:N54"/>
    <mergeCell ref="E55:N55"/>
    <mergeCell ref="E56:N56"/>
    <mergeCell ref="E57:N57"/>
    <mergeCell ref="E48:N48"/>
    <mergeCell ref="E49:N49"/>
    <mergeCell ref="E50:N50"/>
    <mergeCell ref="E51:N51"/>
    <mergeCell ref="E52:N52"/>
    <mergeCell ref="E43:N43"/>
    <mergeCell ref="E44:N44"/>
    <mergeCell ref="E45:N45"/>
    <mergeCell ref="E46:N46"/>
    <mergeCell ref="E47:N47"/>
    <mergeCell ref="E38:N38"/>
    <mergeCell ref="E39:N39"/>
    <mergeCell ref="E40:N40"/>
    <mergeCell ref="E41:N41"/>
    <mergeCell ref="E42:N42"/>
    <mergeCell ref="E36:N36"/>
    <mergeCell ref="B25:G25"/>
    <mergeCell ref="I25:N25"/>
    <mergeCell ref="C1:G1"/>
    <mergeCell ref="I1:L1"/>
    <mergeCell ref="N1:S1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DD04-56ED-4AF3-A32B-84BA3173B628}">
  <sheetPr>
    <pageSetUpPr fitToPage="1"/>
  </sheetPr>
  <dimension ref="A1:CF126"/>
  <sheetViews>
    <sheetView zoomScale="95" zoomScaleNormal="95" workbookViewId="0">
      <pane xSplit="1" ySplit="5" topLeftCell="B6" activePane="bottomRight" state="frozen"/>
      <selection pane="topRight" activeCell="B1" sqref="B1"/>
      <selection pane="bottomLeft" activeCell="A11" sqref="A11"/>
      <selection pane="bottomRight" activeCell="AM121" sqref="AM121"/>
    </sheetView>
  </sheetViews>
  <sheetFormatPr baseColWidth="10" defaultColWidth="9.1640625" defaultRowHeight="13"/>
  <cols>
    <col min="1" max="1" width="4" style="396" customWidth="1"/>
    <col min="2" max="2" width="17.6640625" style="396" bestFit="1" customWidth="1"/>
    <col min="3" max="3" width="31.33203125" style="396" bestFit="1" customWidth="1"/>
    <col min="4" max="4" width="11.5" style="396" bestFit="1" customWidth="1"/>
    <col min="5" max="5" width="14.5" style="396" customWidth="1"/>
    <col min="6" max="6" width="10.6640625" style="396" bestFit="1" customWidth="1"/>
    <col min="7" max="7" width="13.5" style="396" hidden="1" customWidth="1"/>
    <col min="8" max="18" width="11.5" style="396" hidden="1" customWidth="1"/>
    <col min="19" max="19" width="12.1640625" style="396" hidden="1" customWidth="1"/>
    <col min="20" max="27" width="11.5" style="396" customWidth="1"/>
    <col min="28" max="28" width="11.5" style="396" bestFit="1" customWidth="1"/>
    <col min="29" max="30" width="11.5" style="396" customWidth="1"/>
    <col min="31" max="31" width="11.5" style="396" bestFit="1" customWidth="1"/>
    <col min="32" max="32" width="15" style="396" bestFit="1" customWidth="1"/>
    <col min="33" max="33" width="11.5" style="396" bestFit="1" customWidth="1"/>
    <col min="34" max="40" width="11.5" style="396" customWidth="1"/>
    <col min="41" max="41" width="14.33203125" style="396" customWidth="1"/>
    <col min="42" max="44" width="11.5" style="396" customWidth="1"/>
    <col min="45" max="45" width="15.1640625" style="396" customWidth="1"/>
    <col min="46" max="53" width="11.5" style="396" customWidth="1"/>
    <col min="54" max="54" width="14.33203125" style="396" customWidth="1"/>
    <col min="55" max="57" width="11.5" style="396" customWidth="1"/>
    <col min="58" max="58" width="15.1640625" style="396" customWidth="1"/>
    <col min="59" max="66" width="11.5" style="396" customWidth="1"/>
    <col min="67" max="67" width="14.33203125" style="396" customWidth="1"/>
    <col min="68" max="70" width="11.5" style="396" customWidth="1"/>
    <col min="71" max="71" width="15.1640625" style="396" customWidth="1"/>
    <col min="72" max="83" width="11.5" style="396" bestFit="1" customWidth="1"/>
    <col min="84" max="84" width="12.5" style="396" bestFit="1" customWidth="1"/>
    <col min="85" max="16384" width="9.1640625" style="396"/>
  </cols>
  <sheetData>
    <row r="1" spans="1:84" ht="15">
      <c r="A1" s="393" t="s">
        <v>278</v>
      </c>
      <c r="B1" s="394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</row>
    <row r="2" spans="1:84" ht="15">
      <c r="A2" s="1199"/>
      <c r="B2" s="1200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</row>
    <row r="4" spans="1:84">
      <c r="T4" s="331">
        <f>'P&amp;L - 5 year'!D3</f>
        <v>46037</v>
      </c>
      <c r="U4" s="331">
        <f t="shared" ref="U4:AE4" si="0">T4+30</f>
        <v>46067</v>
      </c>
      <c r="V4" s="331">
        <f t="shared" si="0"/>
        <v>46097</v>
      </c>
      <c r="W4" s="331">
        <f t="shared" si="0"/>
        <v>46127</v>
      </c>
      <c r="X4" s="331">
        <f t="shared" si="0"/>
        <v>46157</v>
      </c>
      <c r="Y4" s="331">
        <f t="shared" si="0"/>
        <v>46187</v>
      </c>
      <c r="Z4" s="331">
        <f t="shared" si="0"/>
        <v>46217</v>
      </c>
      <c r="AA4" s="331">
        <f t="shared" si="0"/>
        <v>46247</v>
      </c>
      <c r="AB4" s="331">
        <f t="shared" si="0"/>
        <v>46277</v>
      </c>
      <c r="AC4" s="331">
        <f t="shared" si="0"/>
        <v>46307</v>
      </c>
      <c r="AD4" s="331">
        <f t="shared" si="0"/>
        <v>46337</v>
      </c>
      <c r="AE4" s="331">
        <f t="shared" si="0"/>
        <v>46367</v>
      </c>
    </row>
    <row r="5" spans="1:84" ht="15.75" customHeight="1">
      <c r="A5" s="1198" t="s">
        <v>282</v>
      </c>
      <c r="B5" s="1198"/>
      <c r="C5" s="1198"/>
      <c r="D5" s="1198"/>
      <c r="E5" s="1198"/>
      <c r="F5" s="1198"/>
      <c r="G5" s="1198">
        <v>2017</v>
      </c>
      <c r="H5" s="1198"/>
      <c r="I5" s="1198"/>
      <c r="J5" s="1198"/>
      <c r="K5" s="1198"/>
      <c r="L5" s="1198"/>
      <c r="M5" s="1198"/>
      <c r="N5" s="1198"/>
      <c r="O5" s="1198"/>
      <c r="P5" s="1198"/>
      <c r="Q5" s="1198"/>
      <c r="R5" s="1198"/>
      <c r="S5" s="1198"/>
      <c r="T5" s="1198" t="s">
        <v>283</v>
      </c>
      <c r="U5" s="1198"/>
      <c r="V5" s="1198"/>
      <c r="W5" s="1198"/>
      <c r="X5" s="1198"/>
      <c r="Y5" s="1198"/>
      <c r="Z5" s="1198"/>
      <c r="AA5" s="1198"/>
      <c r="AB5" s="1198"/>
      <c r="AC5" s="1198"/>
      <c r="AD5" s="1198"/>
      <c r="AE5" s="1198"/>
      <c r="AF5" s="1198"/>
      <c r="AG5" s="1198" t="s">
        <v>576</v>
      </c>
      <c r="AH5" s="1198"/>
      <c r="AI5" s="1198"/>
      <c r="AJ5" s="1198"/>
      <c r="AK5" s="1198"/>
      <c r="AL5" s="1198"/>
      <c r="AM5" s="1198"/>
      <c r="AN5" s="1198"/>
      <c r="AO5" s="1198"/>
      <c r="AP5" s="1198"/>
      <c r="AQ5" s="1198"/>
      <c r="AR5" s="1198"/>
      <c r="AS5" s="1198"/>
      <c r="AT5" s="1198" t="s">
        <v>577</v>
      </c>
      <c r="AU5" s="1198"/>
      <c r="AV5" s="1198"/>
      <c r="AW5" s="1198"/>
      <c r="AX5" s="1198"/>
      <c r="AY5" s="1198"/>
      <c r="AZ5" s="1198"/>
      <c r="BA5" s="1198"/>
      <c r="BB5" s="1198"/>
      <c r="BC5" s="1198"/>
      <c r="BD5" s="1198"/>
      <c r="BE5" s="1198"/>
      <c r="BF5" s="1198"/>
      <c r="BG5" s="1198" t="s">
        <v>579</v>
      </c>
      <c r="BH5" s="1198"/>
      <c r="BI5" s="1198"/>
      <c r="BJ5" s="1198"/>
      <c r="BK5" s="1198"/>
      <c r="BL5" s="1198"/>
      <c r="BM5" s="1198"/>
      <c r="BN5" s="1198"/>
      <c r="BO5" s="1198"/>
      <c r="BP5" s="1198"/>
      <c r="BQ5" s="1198"/>
      <c r="BR5" s="1198"/>
      <c r="BS5" s="1198"/>
      <c r="BT5" s="1198" t="s">
        <v>580</v>
      </c>
      <c r="BU5" s="1198"/>
      <c r="BV5" s="1198"/>
      <c r="BW5" s="1198"/>
      <c r="BX5" s="1198"/>
      <c r="BY5" s="1198"/>
      <c r="BZ5" s="1198"/>
      <c r="CA5" s="1198"/>
      <c r="CB5" s="1198"/>
      <c r="CC5" s="1198"/>
      <c r="CD5" s="1198"/>
      <c r="CE5" s="1198"/>
      <c r="CF5" s="1198"/>
    </row>
    <row r="6" spans="1:84">
      <c r="A6" s="397" t="s">
        <v>88</v>
      </c>
      <c r="B6" s="397"/>
      <c r="C6" s="397"/>
      <c r="D6" s="397"/>
      <c r="E6" s="397"/>
      <c r="F6" s="397"/>
      <c r="G6" s="398" t="s">
        <v>49</v>
      </c>
      <c r="H6" s="398" t="s">
        <v>50</v>
      </c>
      <c r="I6" s="398" t="s">
        <v>51</v>
      </c>
      <c r="J6" s="398" t="s">
        <v>52</v>
      </c>
      <c r="K6" s="398" t="s">
        <v>53</v>
      </c>
      <c r="L6" s="398" t="s">
        <v>54</v>
      </c>
      <c r="M6" s="398" t="s">
        <v>55</v>
      </c>
      <c r="N6" s="398" t="s">
        <v>56</v>
      </c>
      <c r="O6" s="398" t="s">
        <v>57</v>
      </c>
      <c r="P6" s="398" t="s">
        <v>279</v>
      </c>
      <c r="Q6" s="398" t="s">
        <v>280</v>
      </c>
      <c r="R6" s="398" t="s">
        <v>281</v>
      </c>
      <c r="S6" s="398" t="s">
        <v>284</v>
      </c>
      <c r="T6" s="398" t="s">
        <v>49</v>
      </c>
      <c r="U6" s="398" t="s">
        <v>50</v>
      </c>
      <c r="V6" s="398" t="s">
        <v>51</v>
      </c>
      <c r="W6" s="398" t="s">
        <v>52</v>
      </c>
      <c r="X6" s="398" t="s">
        <v>53</v>
      </c>
      <c r="Y6" s="398" t="s">
        <v>54</v>
      </c>
      <c r="Z6" s="398" t="s">
        <v>55</v>
      </c>
      <c r="AA6" s="398" t="s">
        <v>56</v>
      </c>
      <c r="AB6" s="398" t="s">
        <v>57</v>
      </c>
      <c r="AC6" s="398" t="s">
        <v>58</v>
      </c>
      <c r="AD6" s="398" t="s">
        <v>59</v>
      </c>
      <c r="AE6" s="398" t="s">
        <v>60</v>
      </c>
      <c r="AF6" s="398" t="s">
        <v>65</v>
      </c>
      <c r="AG6" s="398" t="s">
        <v>291</v>
      </c>
      <c r="AH6" s="398" t="s">
        <v>308</v>
      </c>
      <c r="AI6" s="398" t="s">
        <v>309</v>
      </c>
      <c r="AJ6" s="398" t="s">
        <v>310</v>
      </c>
      <c r="AK6" s="398" t="s">
        <v>311</v>
      </c>
      <c r="AL6" s="398" t="s">
        <v>312</v>
      </c>
      <c r="AM6" s="398" t="s">
        <v>313</v>
      </c>
      <c r="AN6" s="398" t="s">
        <v>314</v>
      </c>
      <c r="AO6" s="398" t="s">
        <v>315</v>
      </c>
      <c r="AP6" s="398" t="s">
        <v>316</v>
      </c>
      <c r="AQ6" s="398" t="s">
        <v>317</v>
      </c>
      <c r="AR6" s="398" t="s">
        <v>318</v>
      </c>
      <c r="AS6" s="398" t="s">
        <v>121</v>
      </c>
      <c r="AT6" s="398" t="s">
        <v>319</v>
      </c>
      <c r="AU6" s="398" t="s">
        <v>320</v>
      </c>
      <c r="AV6" s="398" t="s">
        <v>321</v>
      </c>
      <c r="AW6" s="398" t="s">
        <v>322</v>
      </c>
      <c r="AX6" s="398" t="s">
        <v>323</v>
      </c>
      <c r="AY6" s="398" t="s">
        <v>324</v>
      </c>
      <c r="AZ6" s="398" t="s">
        <v>325</v>
      </c>
      <c r="BA6" s="398" t="s">
        <v>326</v>
      </c>
      <c r="BB6" s="398" t="s">
        <v>327</v>
      </c>
      <c r="BC6" s="398" t="s">
        <v>328</v>
      </c>
      <c r="BD6" s="398" t="s">
        <v>329</v>
      </c>
      <c r="BE6" s="398" t="s">
        <v>330</v>
      </c>
      <c r="BF6" s="398" t="s">
        <v>122</v>
      </c>
      <c r="BG6" s="398" t="s">
        <v>331</v>
      </c>
      <c r="BH6" s="398" t="s">
        <v>332</v>
      </c>
      <c r="BI6" s="398" t="s">
        <v>333</v>
      </c>
      <c r="BJ6" s="398" t="s">
        <v>334</v>
      </c>
      <c r="BK6" s="398" t="s">
        <v>335</v>
      </c>
      <c r="BL6" s="398" t="s">
        <v>336</v>
      </c>
      <c r="BM6" s="398" t="s">
        <v>337</v>
      </c>
      <c r="BN6" s="398" t="s">
        <v>338</v>
      </c>
      <c r="BO6" s="398" t="s">
        <v>339</v>
      </c>
      <c r="BP6" s="398" t="s">
        <v>340</v>
      </c>
      <c r="BQ6" s="398" t="s">
        <v>341</v>
      </c>
      <c r="BR6" s="398" t="s">
        <v>342</v>
      </c>
      <c r="BS6" s="398" t="s">
        <v>123</v>
      </c>
      <c r="BT6" s="398" t="s">
        <v>343</v>
      </c>
      <c r="BU6" s="398" t="s">
        <v>344</v>
      </c>
      <c r="BV6" s="398" t="s">
        <v>345</v>
      </c>
      <c r="BW6" s="398" t="s">
        <v>346</v>
      </c>
      <c r="BX6" s="398" t="s">
        <v>347</v>
      </c>
      <c r="BY6" s="398" t="s">
        <v>348</v>
      </c>
      <c r="BZ6" s="398" t="s">
        <v>349</v>
      </c>
      <c r="CA6" s="398" t="s">
        <v>350</v>
      </c>
      <c r="CB6" s="398" t="s">
        <v>351</v>
      </c>
      <c r="CC6" s="398" t="s">
        <v>352</v>
      </c>
      <c r="CD6" s="398" t="s">
        <v>353</v>
      </c>
      <c r="CE6" s="398" t="s">
        <v>354</v>
      </c>
      <c r="CF6" s="398" t="s">
        <v>124</v>
      </c>
    </row>
    <row r="7" spans="1:84">
      <c r="A7" s="399" t="s">
        <v>285</v>
      </c>
      <c r="B7" s="399"/>
      <c r="C7" s="399"/>
      <c r="D7" s="399"/>
      <c r="E7" s="399"/>
      <c r="F7" s="399"/>
      <c r="G7" s="400">
        <f t="shared" ref="G7:S7" si="1">COUNTIF(G9:G103,"&gt;1")</f>
        <v>8</v>
      </c>
      <c r="H7" s="400">
        <f t="shared" si="1"/>
        <v>8</v>
      </c>
      <c r="I7" s="400">
        <f t="shared" si="1"/>
        <v>8</v>
      </c>
      <c r="J7" s="400">
        <f t="shared" si="1"/>
        <v>8</v>
      </c>
      <c r="K7" s="400">
        <f t="shared" si="1"/>
        <v>8</v>
      </c>
      <c r="L7" s="400">
        <f t="shared" si="1"/>
        <v>8</v>
      </c>
      <c r="M7" s="400">
        <f t="shared" si="1"/>
        <v>8</v>
      </c>
      <c r="N7" s="400">
        <f t="shared" si="1"/>
        <v>8</v>
      </c>
      <c r="O7" s="400">
        <f t="shared" si="1"/>
        <v>8</v>
      </c>
      <c r="P7" s="400">
        <f t="shared" si="1"/>
        <v>8</v>
      </c>
      <c r="Q7" s="400">
        <f t="shared" si="1"/>
        <v>8</v>
      </c>
      <c r="R7" s="400">
        <f t="shared" si="1"/>
        <v>8</v>
      </c>
      <c r="S7" s="401">
        <f t="shared" si="1"/>
        <v>8</v>
      </c>
      <c r="T7" s="400">
        <f t="shared" ref="T7:AY7" si="2">COUNTIF(T9:T101,"&gt;1")</f>
        <v>8</v>
      </c>
      <c r="U7" s="400">
        <f t="shared" si="2"/>
        <v>8</v>
      </c>
      <c r="V7" s="400">
        <f t="shared" si="2"/>
        <v>9</v>
      </c>
      <c r="W7" s="400">
        <f t="shared" si="2"/>
        <v>11</v>
      </c>
      <c r="X7" s="400">
        <f t="shared" si="2"/>
        <v>11</v>
      </c>
      <c r="Y7" s="400">
        <f t="shared" si="2"/>
        <v>11</v>
      </c>
      <c r="Z7" s="400">
        <f t="shared" si="2"/>
        <v>11</v>
      </c>
      <c r="AA7" s="400">
        <f t="shared" si="2"/>
        <v>11</v>
      </c>
      <c r="AB7" s="400">
        <f t="shared" si="2"/>
        <v>7</v>
      </c>
      <c r="AC7" s="400">
        <f t="shared" si="2"/>
        <v>11</v>
      </c>
      <c r="AD7" s="400">
        <f t="shared" si="2"/>
        <v>11</v>
      </c>
      <c r="AE7" s="400">
        <f t="shared" si="2"/>
        <v>11</v>
      </c>
      <c r="AF7" s="402">
        <f t="shared" si="2"/>
        <v>11</v>
      </c>
      <c r="AG7" s="400">
        <f t="shared" si="2"/>
        <v>11</v>
      </c>
      <c r="AH7" s="400">
        <f t="shared" si="2"/>
        <v>11</v>
      </c>
      <c r="AI7" s="400">
        <f t="shared" si="2"/>
        <v>11</v>
      </c>
      <c r="AJ7" s="400">
        <f t="shared" si="2"/>
        <v>12</v>
      </c>
      <c r="AK7" s="400">
        <f t="shared" si="2"/>
        <v>15</v>
      </c>
      <c r="AL7" s="400">
        <f t="shared" si="2"/>
        <v>22</v>
      </c>
      <c r="AM7" s="400">
        <f t="shared" si="2"/>
        <v>34</v>
      </c>
      <c r="AN7" s="400">
        <f t="shared" si="2"/>
        <v>34</v>
      </c>
      <c r="AO7" s="400">
        <f t="shared" si="2"/>
        <v>34</v>
      </c>
      <c r="AP7" s="400">
        <f t="shared" si="2"/>
        <v>34</v>
      </c>
      <c r="AQ7" s="400">
        <f t="shared" si="2"/>
        <v>34</v>
      </c>
      <c r="AR7" s="400">
        <f t="shared" si="2"/>
        <v>34</v>
      </c>
      <c r="AS7" s="402">
        <f t="shared" si="2"/>
        <v>34</v>
      </c>
      <c r="AT7" s="400">
        <f t="shared" si="2"/>
        <v>81</v>
      </c>
      <c r="AU7" s="400">
        <f t="shared" si="2"/>
        <v>81</v>
      </c>
      <c r="AV7" s="400">
        <f t="shared" si="2"/>
        <v>81</v>
      </c>
      <c r="AW7" s="400">
        <f t="shared" si="2"/>
        <v>82</v>
      </c>
      <c r="AX7" s="400">
        <f t="shared" si="2"/>
        <v>82</v>
      </c>
      <c r="AY7" s="400">
        <f t="shared" si="2"/>
        <v>82</v>
      </c>
      <c r="AZ7" s="400">
        <f t="shared" ref="AZ7:CF7" si="3">COUNTIF(AZ9:AZ101,"&gt;1")</f>
        <v>82</v>
      </c>
      <c r="BA7" s="400">
        <f t="shared" si="3"/>
        <v>82</v>
      </c>
      <c r="BB7" s="400">
        <f t="shared" si="3"/>
        <v>82</v>
      </c>
      <c r="BC7" s="400">
        <f t="shared" si="3"/>
        <v>82</v>
      </c>
      <c r="BD7" s="400">
        <f t="shared" si="3"/>
        <v>82</v>
      </c>
      <c r="BE7" s="400">
        <f t="shared" si="3"/>
        <v>82</v>
      </c>
      <c r="BF7" s="402">
        <f t="shared" si="3"/>
        <v>82</v>
      </c>
      <c r="BG7" s="400">
        <f t="shared" si="3"/>
        <v>82</v>
      </c>
      <c r="BH7" s="400">
        <f t="shared" si="3"/>
        <v>82</v>
      </c>
      <c r="BI7" s="400">
        <f t="shared" si="3"/>
        <v>82</v>
      </c>
      <c r="BJ7" s="400">
        <f t="shared" si="3"/>
        <v>82</v>
      </c>
      <c r="BK7" s="400">
        <f t="shared" si="3"/>
        <v>82</v>
      </c>
      <c r="BL7" s="400">
        <f t="shared" si="3"/>
        <v>82</v>
      </c>
      <c r="BM7" s="400">
        <f t="shared" si="3"/>
        <v>82</v>
      </c>
      <c r="BN7" s="400">
        <f t="shared" si="3"/>
        <v>82</v>
      </c>
      <c r="BO7" s="400">
        <f t="shared" si="3"/>
        <v>82</v>
      </c>
      <c r="BP7" s="400">
        <f t="shared" si="3"/>
        <v>82</v>
      </c>
      <c r="BQ7" s="400">
        <f t="shared" si="3"/>
        <v>82</v>
      </c>
      <c r="BR7" s="400">
        <f t="shared" si="3"/>
        <v>82</v>
      </c>
      <c r="BS7" s="402">
        <f t="shared" si="3"/>
        <v>82</v>
      </c>
      <c r="BT7" s="400">
        <f t="shared" si="3"/>
        <v>82</v>
      </c>
      <c r="BU7" s="400">
        <f t="shared" si="3"/>
        <v>82</v>
      </c>
      <c r="BV7" s="400">
        <f t="shared" si="3"/>
        <v>82</v>
      </c>
      <c r="BW7" s="400">
        <f t="shared" si="3"/>
        <v>82</v>
      </c>
      <c r="BX7" s="400">
        <f t="shared" si="3"/>
        <v>82</v>
      </c>
      <c r="BY7" s="400">
        <f t="shared" si="3"/>
        <v>82</v>
      </c>
      <c r="BZ7" s="400">
        <f t="shared" si="3"/>
        <v>82</v>
      </c>
      <c r="CA7" s="400">
        <f t="shared" si="3"/>
        <v>82</v>
      </c>
      <c r="CB7" s="400">
        <f t="shared" si="3"/>
        <v>82</v>
      </c>
      <c r="CC7" s="400">
        <f t="shared" si="3"/>
        <v>82</v>
      </c>
      <c r="CD7" s="400">
        <f t="shared" si="3"/>
        <v>82</v>
      </c>
      <c r="CE7" s="400">
        <f t="shared" si="3"/>
        <v>82</v>
      </c>
      <c r="CF7" s="402">
        <f t="shared" si="3"/>
        <v>82</v>
      </c>
    </row>
    <row r="8" spans="1:84" s="407" customFormat="1" ht="12.75" customHeight="1">
      <c r="A8" s="403"/>
      <c r="B8" s="403"/>
      <c r="C8" s="403" t="s">
        <v>286</v>
      </c>
      <c r="D8" s="403" t="s">
        <v>287</v>
      </c>
      <c r="E8" s="403" t="s">
        <v>581</v>
      </c>
      <c r="F8" s="403" t="s">
        <v>288</v>
      </c>
      <c r="G8" s="404"/>
      <c r="H8" s="404"/>
      <c r="I8" s="404"/>
      <c r="J8" s="404"/>
      <c r="K8" s="404"/>
      <c r="L8" s="404"/>
      <c r="M8" s="404"/>
      <c r="N8" s="404"/>
      <c r="O8" s="404"/>
      <c r="P8" s="404"/>
      <c r="Q8" s="404"/>
      <c r="R8" s="404"/>
      <c r="S8" s="404"/>
      <c r="T8" s="405"/>
      <c r="U8" s="404"/>
      <c r="V8" s="404"/>
      <c r="W8" s="404"/>
      <c r="X8" s="404"/>
      <c r="Y8" s="404"/>
      <c r="Z8" s="404"/>
      <c r="AA8" s="404"/>
      <c r="AB8" s="404"/>
      <c r="AC8" s="404"/>
      <c r="AD8" s="404"/>
      <c r="AE8" s="404"/>
      <c r="AF8" s="406"/>
      <c r="AG8" s="405">
        <v>0.04</v>
      </c>
      <c r="AH8" s="404"/>
      <c r="AI8" s="404"/>
      <c r="AJ8" s="404"/>
      <c r="AK8" s="404"/>
      <c r="AL8" s="404"/>
      <c r="AM8" s="404"/>
      <c r="AN8" s="404"/>
      <c r="AO8" s="404"/>
      <c r="AP8" s="404"/>
      <c r="AQ8" s="404"/>
      <c r="AR8" s="404"/>
      <c r="AS8" s="406"/>
      <c r="AT8" s="405">
        <v>0.04</v>
      </c>
      <c r="AU8" s="404"/>
      <c r="AV8" s="404"/>
      <c r="AW8" s="404"/>
      <c r="AX8" s="404"/>
      <c r="AY8" s="404"/>
      <c r="AZ8" s="404"/>
      <c r="BA8" s="404"/>
      <c r="BB8" s="404"/>
      <c r="BC8" s="404"/>
      <c r="BD8" s="404"/>
      <c r="BE8" s="404"/>
      <c r="BF8" s="406"/>
      <c r="BG8" s="405">
        <v>0.04</v>
      </c>
      <c r="BH8" s="404"/>
      <c r="BI8" s="404"/>
      <c r="BJ8" s="404"/>
      <c r="BK8" s="404"/>
      <c r="BL8" s="404"/>
      <c r="BM8" s="404"/>
      <c r="BN8" s="404"/>
      <c r="BO8" s="404"/>
      <c r="BP8" s="404"/>
      <c r="BQ8" s="404"/>
      <c r="BR8" s="404"/>
      <c r="BS8" s="406"/>
      <c r="BT8" s="405">
        <v>0.04</v>
      </c>
      <c r="BU8" s="404"/>
      <c r="BV8" s="404"/>
      <c r="BW8" s="404"/>
      <c r="BX8" s="404"/>
      <c r="BY8" s="404"/>
      <c r="BZ8" s="404"/>
      <c r="CA8" s="404"/>
      <c r="CB8" s="404"/>
      <c r="CC8" s="404"/>
      <c r="CD8" s="404"/>
      <c r="CE8" s="404"/>
      <c r="CF8" s="406"/>
    </row>
    <row r="9" spans="1:84" ht="12.75" customHeight="1">
      <c r="A9" s="408" t="s">
        <v>584</v>
      </c>
      <c r="B9" s="409"/>
      <c r="C9" s="409"/>
      <c r="D9" s="409"/>
      <c r="E9" s="409"/>
      <c r="F9" s="409"/>
      <c r="G9" s="400"/>
      <c r="H9" s="400"/>
      <c r="I9" s="400"/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10"/>
      <c r="U9" s="400"/>
      <c r="V9" s="400"/>
      <c r="W9" s="400"/>
      <c r="X9" s="400"/>
      <c r="Y9" s="400"/>
      <c r="Z9" s="400"/>
      <c r="AA9" s="400"/>
      <c r="AB9" s="400"/>
      <c r="AC9" s="400"/>
      <c r="AD9" s="400"/>
      <c r="AE9" s="400"/>
      <c r="AF9" s="411"/>
      <c r="AG9" s="410"/>
      <c r="AH9" s="400"/>
      <c r="AI9" s="400"/>
      <c r="AJ9" s="400"/>
      <c r="AK9" s="400"/>
      <c r="AL9" s="400"/>
      <c r="AM9" s="400"/>
      <c r="AN9" s="400"/>
      <c r="AO9" s="400"/>
      <c r="AP9" s="400"/>
      <c r="AQ9" s="400"/>
      <c r="AR9" s="400"/>
      <c r="AS9" s="411"/>
      <c r="AT9" s="41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11"/>
      <c r="BG9" s="411"/>
      <c r="BH9" s="399"/>
      <c r="BI9" s="399"/>
      <c r="BJ9" s="399"/>
      <c r="BK9" s="399"/>
      <c r="BL9" s="399"/>
      <c r="BM9" s="399"/>
      <c r="BN9" s="399"/>
      <c r="BO9" s="399"/>
      <c r="BP9" s="399"/>
      <c r="BQ9" s="399"/>
      <c r="BR9" s="399"/>
      <c r="BS9" s="399"/>
      <c r="BT9" s="399"/>
      <c r="BU9" s="399"/>
      <c r="BV9" s="399"/>
      <c r="BW9" s="399"/>
      <c r="BX9" s="399"/>
      <c r="BY9" s="399"/>
      <c r="BZ9" s="399"/>
      <c r="CA9" s="399"/>
      <c r="CB9" s="399"/>
      <c r="CC9" s="399"/>
      <c r="CD9" s="399"/>
      <c r="CE9" s="399"/>
      <c r="CF9" s="399"/>
    </row>
    <row r="10" spans="1:84">
      <c r="A10" s="399"/>
      <c r="B10" s="412" t="s">
        <v>289</v>
      </c>
      <c r="C10" s="479" t="s">
        <v>724</v>
      </c>
      <c r="D10" s="413">
        <v>240000</v>
      </c>
      <c r="E10" s="413"/>
      <c r="F10" s="414" t="s">
        <v>49</v>
      </c>
      <c r="G10" s="415">
        <f>IF($F10=$G$6,(D10/12)+(E10/12),0)</f>
        <v>20000</v>
      </c>
      <c r="H10" s="415">
        <f t="shared" ref="H10:R69" si="4">G10</f>
        <v>20000</v>
      </c>
      <c r="I10" s="415">
        <f t="shared" si="4"/>
        <v>20000</v>
      </c>
      <c r="J10" s="415">
        <f t="shared" si="4"/>
        <v>20000</v>
      </c>
      <c r="K10" s="415">
        <f t="shared" si="4"/>
        <v>20000</v>
      </c>
      <c r="L10" s="415">
        <f t="shared" si="4"/>
        <v>20000</v>
      </c>
      <c r="M10" s="415">
        <f t="shared" si="4"/>
        <v>20000</v>
      </c>
      <c r="N10" s="415">
        <f t="shared" si="4"/>
        <v>20000</v>
      </c>
      <c r="O10" s="415">
        <f t="shared" si="4"/>
        <v>20000</v>
      </c>
      <c r="P10" s="415">
        <f t="shared" si="4"/>
        <v>20000</v>
      </c>
      <c r="Q10" s="415">
        <f t="shared" si="4"/>
        <v>20000</v>
      </c>
      <c r="R10" s="415">
        <f t="shared" si="4"/>
        <v>20000</v>
      </c>
      <c r="S10" s="416">
        <f t="shared" ref="S10:S74" si="5">SUM(G10:R10)</f>
        <v>240000</v>
      </c>
      <c r="T10" s="415">
        <f t="shared" ref="T10:T37" si="6">IF($F10=T$6,(($D10+$E10)*(1+$T$8))/12,R10*(1+T$8))</f>
        <v>20000</v>
      </c>
      <c r="U10" s="415">
        <f t="shared" ref="U10:AE31" si="7">IF($F10=U$6,(($D10+$E10)/12),T10)</f>
        <v>20000</v>
      </c>
      <c r="V10" s="415">
        <f t="shared" si="7"/>
        <v>20000</v>
      </c>
      <c r="W10" s="415">
        <f t="shared" si="7"/>
        <v>20000</v>
      </c>
      <c r="X10" s="415">
        <f t="shared" si="7"/>
        <v>20000</v>
      </c>
      <c r="Y10" s="415">
        <f t="shared" si="7"/>
        <v>20000</v>
      </c>
      <c r="Z10" s="415">
        <f t="shared" si="7"/>
        <v>20000</v>
      </c>
      <c r="AA10" s="415">
        <f t="shared" si="7"/>
        <v>20000</v>
      </c>
      <c r="AB10" s="415">
        <v>10000</v>
      </c>
      <c r="AC10" s="415">
        <f t="shared" ref="AC10:AC16" si="8">IF($F10=AC$6,(($D10+$E10)/12),AA10)</f>
        <v>20000</v>
      </c>
      <c r="AD10" s="415">
        <f t="shared" si="7"/>
        <v>20000</v>
      </c>
      <c r="AE10" s="415">
        <f t="shared" si="7"/>
        <v>20000</v>
      </c>
      <c r="AF10" s="416">
        <f t="shared" ref="AF10:AF37" si="9">SUM(T10:AE10)</f>
        <v>230000</v>
      </c>
      <c r="AG10" s="415">
        <f t="shared" ref="AG10:AG14" si="10">IF($F10=AG$6,($D10+$E10)/12,AE10*(1+AG$8))</f>
        <v>20800</v>
      </c>
      <c r="AH10" s="415">
        <f t="shared" ref="AH10:AR31" si="11">IF($F10=AH$6,(($D10+$E10)/12),AG10)</f>
        <v>20800</v>
      </c>
      <c r="AI10" s="415">
        <f t="shared" si="11"/>
        <v>20800</v>
      </c>
      <c r="AJ10" s="415">
        <f t="shared" si="11"/>
        <v>20800</v>
      </c>
      <c r="AK10" s="415">
        <f t="shared" si="11"/>
        <v>20800</v>
      </c>
      <c r="AL10" s="415">
        <f t="shared" si="11"/>
        <v>20800</v>
      </c>
      <c r="AM10" s="415">
        <f t="shared" si="11"/>
        <v>20800</v>
      </c>
      <c r="AN10" s="415">
        <f t="shared" si="11"/>
        <v>20800</v>
      </c>
      <c r="AO10" s="415">
        <f t="shared" si="11"/>
        <v>20800</v>
      </c>
      <c r="AP10" s="415">
        <f t="shared" si="11"/>
        <v>20800</v>
      </c>
      <c r="AQ10" s="415">
        <f t="shared" si="11"/>
        <v>20800</v>
      </c>
      <c r="AR10" s="415">
        <f t="shared" si="11"/>
        <v>20800</v>
      </c>
      <c r="AS10" s="416">
        <f t="shared" ref="AS10:AS102" si="12">SUM(AG10:AR10)</f>
        <v>249600</v>
      </c>
      <c r="AT10" s="415">
        <f t="shared" ref="AT10:AT14" si="13">IF($F10=AT$6,($D10+$E10)/12,AR10*(1+AT$8))</f>
        <v>21632</v>
      </c>
      <c r="AU10" s="415">
        <f t="shared" ref="AU10:BE31" si="14">IF($F10=AU$6,(($D10+$E10)/12),AT10)</f>
        <v>21632</v>
      </c>
      <c r="AV10" s="415">
        <f t="shared" si="14"/>
        <v>21632</v>
      </c>
      <c r="AW10" s="415">
        <f t="shared" si="14"/>
        <v>21632</v>
      </c>
      <c r="AX10" s="415">
        <f t="shared" si="14"/>
        <v>21632</v>
      </c>
      <c r="AY10" s="415">
        <f t="shared" si="14"/>
        <v>21632</v>
      </c>
      <c r="AZ10" s="415">
        <f t="shared" si="14"/>
        <v>21632</v>
      </c>
      <c r="BA10" s="415">
        <f t="shared" si="14"/>
        <v>21632</v>
      </c>
      <c r="BB10" s="415">
        <f t="shared" si="14"/>
        <v>21632</v>
      </c>
      <c r="BC10" s="415">
        <f t="shared" si="14"/>
        <v>21632</v>
      </c>
      <c r="BD10" s="415">
        <f t="shared" si="14"/>
        <v>21632</v>
      </c>
      <c r="BE10" s="415">
        <f t="shared" si="14"/>
        <v>21632</v>
      </c>
      <c r="BF10" s="416">
        <f t="shared" ref="BF10:BF102" si="15">SUM(AT10:BE10)</f>
        <v>259584</v>
      </c>
      <c r="BG10" s="415">
        <f t="shared" ref="BG10:BG14" si="16">IF($F10=BG$6,($D10+$E10)/12,BE10*(1+BG$8))</f>
        <v>22497.280000000002</v>
      </c>
      <c r="BH10" s="415">
        <f t="shared" ref="BH10:BR31" si="17">IF($F10=BH$6,(($D10+$E10)/12),BG10)</f>
        <v>22497.280000000002</v>
      </c>
      <c r="BI10" s="415">
        <f t="shared" si="17"/>
        <v>22497.280000000002</v>
      </c>
      <c r="BJ10" s="415">
        <f t="shared" si="17"/>
        <v>22497.280000000002</v>
      </c>
      <c r="BK10" s="415">
        <f t="shared" si="17"/>
        <v>22497.280000000002</v>
      </c>
      <c r="BL10" s="415">
        <f t="shared" si="17"/>
        <v>22497.280000000002</v>
      </c>
      <c r="BM10" s="415">
        <f t="shared" si="17"/>
        <v>22497.280000000002</v>
      </c>
      <c r="BN10" s="415">
        <f t="shared" si="17"/>
        <v>22497.280000000002</v>
      </c>
      <c r="BO10" s="415">
        <f t="shared" si="17"/>
        <v>22497.280000000002</v>
      </c>
      <c r="BP10" s="415">
        <f t="shared" si="17"/>
        <v>22497.280000000002</v>
      </c>
      <c r="BQ10" s="415">
        <f t="shared" si="17"/>
        <v>22497.280000000002</v>
      </c>
      <c r="BR10" s="415">
        <f t="shared" si="17"/>
        <v>22497.280000000002</v>
      </c>
      <c r="BS10" s="416">
        <f t="shared" ref="BS10:BS37" si="18">SUM(BG10:BR10)</f>
        <v>269967.36000000004</v>
      </c>
      <c r="BT10" s="415">
        <f t="shared" ref="BT10:BT14" si="19">IF($F10=BT$6,($D10+$E10)/12,BR10*(1+BT$8))</f>
        <v>23397.171200000004</v>
      </c>
      <c r="BU10" s="415">
        <f t="shared" ref="BU10:CE31" si="20">IF($F10=BU$6,(($D10+$E10)/12),BT10)</f>
        <v>23397.171200000004</v>
      </c>
      <c r="BV10" s="415">
        <f t="shared" si="20"/>
        <v>23397.171200000004</v>
      </c>
      <c r="BW10" s="415">
        <f t="shared" si="20"/>
        <v>23397.171200000004</v>
      </c>
      <c r="BX10" s="415">
        <f t="shared" si="20"/>
        <v>23397.171200000004</v>
      </c>
      <c r="BY10" s="415">
        <f t="shared" si="20"/>
        <v>23397.171200000004</v>
      </c>
      <c r="BZ10" s="415">
        <f t="shared" si="20"/>
        <v>23397.171200000004</v>
      </c>
      <c r="CA10" s="415">
        <f t="shared" si="20"/>
        <v>23397.171200000004</v>
      </c>
      <c r="CB10" s="415">
        <f t="shared" si="20"/>
        <v>23397.171200000004</v>
      </c>
      <c r="CC10" s="415">
        <f t="shared" si="20"/>
        <v>23397.171200000004</v>
      </c>
      <c r="CD10" s="415">
        <f t="shared" si="20"/>
        <v>23397.171200000004</v>
      </c>
      <c r="CE10" s="415">
        <f t="shared" si="20"/>
        <v>23397.171200000004</v>
      </c>
      <c r="CF10" s="416">
        <f t="shared" ref="CF10:CF37" si="21">SUM(BT10:CE10)</f>
        <v>280766.05440000008</v>
      </c>
    </row>
    <row r="11" spans="1:84">
      <c r="A11" s="399"/>
      <c r="B11" s="479" t="s">
        <v>723</v>
      </c>
      <c r="C11" s="412" t="s">
        <v>290</v>
      </c>
      <c r="D11" s="413">
        <v>240000</v>
      </c>
      <c r="E11" s="413"/>
      <c r="F11" s="414" t="s">
        <v>49</v>
      </c>
      <c r="G11" s="415">
        <f>IF($F11=$G$6,(D11/12)+(E11/12),0)</f>
        <v>20000</v>
      </c>
      <c r="H11" s="415">
        <f t="shared" ref="H11" si="22">G11</f>
        <v>20000</v>
      </c>
      <c r="I11" s="415">
        <f t="shared" ref="I11" si="23">H11</f>
        <v>20000</v>
      </c>
      <c r="J11" s="415">
        <f t="shared" ref="J11" si="24">I11</f>
        <v>20000</v>
      </c>
      <c r="K11" s="415">
        <f t="shared" ref="K11" si="25">J11</f>
        <v>20000</v>
      </c>
      <c r="L11" s="415">
        <f t="shared" ref="L11" si="26">K11</f>
        <v>20000</v>
      </c>
      <c r="M11" s="415">
        <f t="shared" ref="M11" si="27">L11</f>
        <v>20000</v>
      </c>
      <c r="N11" s="415">
        <f t="shared" ref="N11" si="28">M11</f>
        <v>20000</v>
      </c>
      <c r="O11" s="415">
        <f t="shared" ref="O11" si="29">N11</f>
        <v>20000</v>
      </c>
      <c r="P11" s="415">
        <f t="shared" ref="P11" si="30">O11</f>
        <v>20000</v>
      </c>
      <c r="Q11" s="415">
        <f t="shared" ref="Q11" si="31">P11</f>
        <v>20000</v>
      </c>
      <c r="R11" s="415">
        <f t="shared" ref="R11" si="32">Q11</f>
        <v>20000</v>
      </c>
      <c r="S11" s="416">
        <f t="shared" ref="S11" si="33">SUM(G11:R11)</f>
        <v>240000</v>
      </c>
      <c r="T11" s="415">
        <f t="shared" ref="T11" si="34">IF($F11=T$6,(($D11+$E11)*(1+$T$8))/12,R11*(1+T$8))</f>
        <v>20000</v>
      </c>
      <c r="U11" s="415">
        <f t="shared" ref="U11" si="35">IF($F11=U$6,(($D11+$E11)/12),T11)</f>
        <v>20000</v>
      </c>
      <c r="V11" s="415">
        <f t="shared" ref="V11" si="36">IF($F11=V$6,(($D11+$E11)/12),U11)</f>
        <v>20000</v>
      </c>
      <c r="W11" s="415">
        <f t="shared" ref="W11" si="37">IF($F11=W$6,(($D11+$E11)/12),V11)</f>
        <v>20000</v>
      </c>
      <c r="X11" s="415">
        <f t="shared" ref="X11" si="38">IF($F11=X$6,(($D11+$E11)/12),W11)</f>
        <v>20000</v>
      </c>
      <c r="Y11" s="415">
        <f t="shared" ref="Y11" si="39">IF($F11=Y$6,(($D11+$E11)/12),X11)</f>
        <v>20000</v>
      </c>
      <c r="Z11" s="415">
        <f t="shared" ref="Z11" si="40">IF($F11=Z$6,(($D11+$E11)/12),Y11)</f>
        <v>20000</v>
      </c>
      <c r="AA11" s="415">
        <f t="shared" ref="AA11" si="41">IF($F11=AA$6,(($D11+$E11)/12),Z11)</f>
        <v>20000</v>
      </c>
      <c r="AB11" s="415">
        <v>0</v>
      </c>
      <c r="AC11" s="415">
        <f t="shared" si="8"/>
        <v>20000</v>
      </c>
      <c r="AD11" s="415">
        <f t="shared" ref="AD11" si="42">IF($F11=AD$6,(($D11+$E11)/12),AC11)</f>
        <v>20000</v>
      </c>
      <c r="AE11" s="415">
        <f t="shared" ref="AE11" si="43">IF($F11=AE$6,(($D11+$E11)/12),AD11)</f>
        <v>20000</v>
      </c>
      <c r="AF11" s="416">
        <f t="shared" ref="AF11" si="44">SUM(T11:AE11)</f>
        <v>220000</v>
      </c>
      <c r="AG11" s="415">
        <f t="shared" ref="AG11" si="45">IF($F11=AG$6,($D11+$E11)/12,AE11*(1+AG$8))</f>
        <v>20800</v>
      </c>
      <c r="AH11" s="415">
        <f t="shared" ref="AH11" si="46">IF($F11=AH$6,(($D11+$E11)/12),AG11)</f>
        <v>20800</v>
      </c>
      <c r="AI11" s="415">
        <f t="shared" ref="AI11" si="47">IF($F11=AI$6,(($D11+$E11)/12),AH11)</f>
        <v>20800</v>
      </c>
      <c r="AJ11" s="415">
        <f t="shared" ref="AJ11" si="48">IF($F11=AJ$6,(($D11+$E11)/12),AI11)</f>
        <v>20800</v>
      </c>
      <c r="AK11" s="415">
        <f t="shared" ref="AK11" si="49">IF($F11=AK$6,(($D11+$E11)/12),AJ11)</f>
        <v>20800</v>
      </c>
      <c r="AL11" s="415">
        <f t="shared" ref="AL11" si="50">IF($F11=AL$6,(($D11+$E11)/12),AK11)</f>
        <v>20800</v>
      </c>
      <c r="AM11" s="415">
        <f t="shared" ref="AM11" si="51">IF($F11=AM$6,(($D11+$E11)/12),AL11)</f>
        <v>20800</v>
      </c>
      <c r="AN11" s="415">
        <f t="shared" ref="AN11" si="52">IF($F11=AN$6,(($D11+$E11)/12),AM11)</f>
        <v>20800</v>
      </c>
      <c r="AO11" s="415">
        <f t="shared" ref="AO11" si="53">IF($F11=AO$6,(($D11+$E11)/12),AN11)</f>
        <v>20800</v>
      </c>
      <c r="AP11" s="415">
        <f t="shared" ref="AP11" si="54">IF($F11=AP$6,(($D11+$E11)/12),AO11)</f>
        <v>20800</v>
      </c>
      <c r="AQ11" s="415">
        <f t="shared" ref="AQ11" si="55">IF($F11=AQ$6,(($D11+$E11)/12),AP11)</f>
        <v>20800</v>
      </c>
      <c r="AR11" s="415">
        <f t="shared" ref="AR11" si="56">IF($F11=AR$6,(($D11+$E11)/12),AQ11)</f>
        <v>20800</v>
      </c>
      <c r="AS11" s="416">
        <f t="shared" ref="AS11" si="57">SUM(AG11:AR11)</f>
        <v>249600</v>
      </c>
      <c r="AT11" s="415">
        <f t="shared" ref="AT11" si="58">IF($F11=AT$6,($D11+$E11)/12,AR11*(1+AT$8))</f>
        <v>21632</v>
      </c>
      <c r="AU11" s="415">
        <f t="shared" ref="AU11" si="59">IF($F11=AU$6,(($D11+$E11)/12),AT11)</f>
        <v>21632</v>
      </c>
      <c r="AV11" s="415">
        <f t="shared" ref="AV11" si="60">IF($F11=AV$6,(($D11+$E11)/12),AU11)</f>
        <v>21632</v>
      </c>
      <c r="AW11" s="415">
        <f t="shared" ref="AW11" si="61">IF($F11=AW$6,(($D11+$E11)/12),AV11)</f>
        <v>21632</v>
      </c>
      <c r="AX11" s="415">
        <f t="shared" ref="AX11" si="62">IF($F11=AX$6,(($D11+$E11)/12),AW11)</f>
        <v>21632</v>
      </c>
      <c r="AY11" s="415">
        <f t="shared" ref="AY11" si="63">IF($F11=AY$6,(($D11+$E11)/12),AX11)</f>
        <v>21632</v>
      </c>
      <c r="AZ11" s="415">
        <f t="shared" ref="AZ11" si="64">IF($F11=AZ$6,(($D11+$E11)/12),AY11)</f>
        <v>21632</v>
      </c>
      <c r="BA11" s="415">
        <f t="shared" ref="BA11" si="65">IF($F11=BA$6,(($D11+$E11)/12),AZ11)</f>
        <v>21632</v>
      </c>
      <c r="BB11" s="415">
        <f t="shared" ref="BB11" si="66">IF($F11=BB$6,(($D11+$E11)/12),BA11)</f>
        <v>21632</v>
      </c>
      <c r="BC11" s="415">
        <f t="shared" ref="BC11" si="67">IF($F11=BC$6,(($D11+$E11)/12),BB11)</f>
        <v>21632</v>
      </c>
      <c r="BD11" s="415">
        <f t="shared" ref="BD11" si="68">IF($F11=BD$6,(($D11+$E11)/12),BC11)</f>
        <v>21632</v>
      </c>
      <c r="BE11" s="415">
        <f t="shared" ref="BE11" si="69">IF($F11=BE$6,(($D11+$E11)/12),BD11)</f>
        <v>21632</v>
      </c>
      <c r="BF11" s="416">
        <f t="shared" ref="BF11" si="70">SUM(AT11:BE11)</f>
        <v>259584</v>
      </c>
      <c r="BG11" s="415">
        <f t="shared" ref="BG11" si="71">IF($F11=BG$6,($D11+$E11)/12,BE11*(1+BG$8))</f>
        <v>22497.280000000002</v>
      </c>
      <c r="BH11" s="415">
        <f t="shared" ref="BH11" si="72">IF($F11=BH$6,(($D11+$E11)/12),BG11)</f>
        <v>22497.280000000002</v>
      </c>
      <c r="BI11" s="415">
        <f t="shared" ref="BI11" si="73">IF($F11=BI$6,(($D11+$E11)/12),BH11)</f>
        <v>22497.280000000002</v>
      </c>
      <c r="BJ11" s="415">
        <f t="shared" ref="BJ11" si="74">IF($F11=BJ$6,(($D11+$E11)/12),BI11)</f>
        <v>22497.280000000002</v>
      </c>
      <c r="BK11" s="415">
        <f t="shared" ref="BK11" si="75">IF($F11=BK$6,(($D11+$E11)/12),BJ11)</f>
        <v>22497.280000000002</v>
      </c>
      <c r="BL11" s="415">
        <f t="shared" ref="BL11" si="76">IF($F11=BL$6,(($D11+$E11)/12),BK11)</f>
        <v>22497.280000000002</v>
      </c>
      <c r="BM11" s="415">
        <f t="shared" ref="BM11" si="77">IF($F11=BM$6,(($D11+$E11)/12),BL11)</f>
        <v>22497.280000000002</v>
      </c>
      <c r="BN11" s="415">
        <f t="shared" ref="BN11" si="78">IF($F11=BN$6,(($D11+$E11)/12),BM11)</f>
        <v>22497.280000000002</v>
      </c>
      <c r="BO11" s="415">
        <f t="shared" ref="BO11" si="79">IF($F11=BO$6,(($D11+$E11)/12),BN11)</f>
        <v>22497.280000000002</v>
      </c>
      <c r="BP11" s="415">
        <f t="shared" ref="BP11" si="80">IF($F11=BP$6,(($D11+$E11)/12),BO11)</f>
        <v>22497.280000000002</v>
      </c>
      <c r="BQ11" s="415">
        <f t="shared" ref="BQ11" si="81">IF($F11=BQ$6,(($D11+$E11)/12),BP11)</f>
        <v>22497.280000000002</v>
      </c>
      <c r="BR11" s="415">
        <f t="shared" ref="BR11" si="82">IF($F11=BR$6,(($D11+$E11)/12),BQ11)</f>
        <v>22497.280000000002</v>
      </c>
      <c r="BS11" s="416">
        <f t="shared" ref="BS11" si="83">SUM(BG11:BR11)</f>
        <v>269967.36000000004</v>
      </c>
      <c r="BT11" s="415">
        <f t="shared" ref="BT11" si="84">IF($F11=BT$6,($D11+$E11)/12,BR11*(1+BT$8))</f>
        <v>23397.171200000004</v>
      </c>
      <c r="BU11" s="415">
        <f t="shared" ref="BU11" si="85">IF($F11=BU$6,(($D11+$E11)/12),BT11)</f>
        <v>23397.171200000004</v>
      </c>
      <c r="BV11" s="415">
        <f t="shared" ref="BV11" si="86">IF($F11=BV$6,(($D11+$E11)/12),BU11)</f>
        <v>23397.171200000004</v>
      </c>
      <c r="BW11" s="415">
        <f t="shared" ref="BW11" si="87">IF($F11=BW$6,(($D11+$E11)/12),BV11)</f>
        <v>23397.171200000004</v>
      </c>
      <c r="BX11" s="415">
        <f t="shared" ref="BX11" si="88">IF($F11=BX$6,(($D11+$E11)/12),BW11)</f>
        <v>23397.171200000004</v>
      </c>
      <c r="BY11" s="415">
        <f t="shared" ref="BY11" si="89">IF($F11=BY$6,(($D11+$E11)/12),BX11)</f>
        <v>23397.171200000004</v>
      </c>
      <c r="BZ11" s="415">
        <f t="shared" ref="BZ11" si="90">IF($F11=BZ$6,(($D11+$E11)/12),BY11)</f>
        <v>23397.171200000004</v>
      </c>
      <c r="CA11" s="415">
        <f t="shared" ref="CA11" si="91">IF($F11=CA$6,(($D11+$E11)/12),BZ11)</f>
        <v>23397.171200000004</v>
      </c>
      <c r="CB11" s="415">
        <f t="shared" ref="CB11" si="92">IF($F11=CB$6,(($D11+$E11)/12),CA11)</f>
        <v>23397.171200000004</v>
      </c>
      <c r="CC11" s="415">
        <f t="shared" ref="CC11" si="93">IF($F11=CC$6,(($D11+$E11)/12),CB11)</f>
        <v>23397.171200000004</v>
      </c>
      <c r="CD11" s="415">
        <f t="shared" ref="CD11" si="94">IF($F11=CD$6,(($D11+$E11)/12),CC11)</f>
        <v>23397.171200000004</v>
      </c>
      <c r="CE11" s="415">
        <f t="shared" ref="CE11" si="95">IF($F11=CE$6,(($D11+$E11)/12),CD11)</f>
        <v>23397.171200000004</v>
      </c>
      <c r="CF11" s="416">
        <f t="shared" ref="CF11" si="96">SUM(BT11:CE11)</f>
        <v>280766.05440000008</v>
      </c>
    </row>
    <row r="12" spans="1:84">
      <c r="A12" s="399"/>
      <c r="B12" s="412" t="s">
        <v>292</v>
      </c>
      <c r="C12" s="412" t="s">
        <v>293</v>
      </c>
      <c r="D12" s="413">
        <v>240000</v>
      </c>
      <c r="E12" s="413"/>
      <c r="F12" s="414" t="s">
        <v>49</v>
      </c>
      <c r="G12" s="415">
        <f>IF($F12=$G$6,(D12/12)+(E12/12),0)</f>
        <v>20000</v>
      </c>
      <c r="H12" s="415">
        <f t="shared" si="4"/>
        <v>20000</v>
      </c>
      <c r="I12" s="415">
        <f t="shared" si="4"/>
        <v>20000</v>
      </c>
      <c r="J12" s="415">
        <f t="shared" si="4"/>
        <v>20000</v>
      </c>
      <c r="K12" s="415">
        <f t="shared" si="4"/>
        <v>20000</v>
      </c>
      <c r="L12" s="415">
        <f t="shared" si="4"/>
        <v>20000</v>
      </c>
      <c r="M12" s="415">
        <f t="shared" si="4"/>
        <v>20000</v>
      </c>
      <c r="N12" s="415">
        <f t="shared" si="4"/>
        <v>20000</v>
      </c>
      <c r="O12" s="415">
        <f t="shared" si="4"/>
        <v>20000</v>
      </c>
      <c r="P12" s="415">
        <f t="shared" si="4"/>
        <v>20000</v>
      </c>
      <c r="Q12" s="415">
        <f t="shared" si="4"/>
        <v>20000</v>
      </c>
      <c r="R12" s="415">
        <f t="shared" si="4"/>
        <v>20000</v>
      </c>
      <c r="S12" s="416">
        <f t="shared" si="5"/>
        <v>240000</v>
      </c>
      <c r="T12" s="415">
        <f t="shared" ref="T12:T16" si="97">IF($F12=T$6,(($D12+$E12)*(1+$T$8))/12,R12*(1+T$8))</f>
        <v>20000</v>
      </c>
      <c r="U12" s="415">
        <f t="shared" ref="U12:U16" si="98">IF($F12=U$6,(($D12+$E12)/12),T12)</f>
        <v>20000</v>
      </c>
      <c r="V12" s="415">
        <f t="shared" si="7"/>
        <v>20000</v>
      </c>
      <c r="W12" s="415">
        <f t="shared" si="7"/>
        <v>20000</v>
      </c>
      <c r="X12" s="415">
        <f t="shared" si="7"/>
        <v>20000</v>
      </c>
      <c r="Y12" s="415">
        <f t="shared" si="7"/>
        <v>20000</v>
      </c>
      <c r="Z12" s="415">
        <f t="shared" si="7"/>
        <v>20000</v>
      </c>
      <c r="AA12" s="415">
        <f t="shared" si="7"/>
        <v>20000</v>
      </c>
      <c r="AB12" s="415">
        <v>10000</v>
      </c>
      <c r="AC12" s="415">
        <f t="shared" si="8"/>
        <v>20000</v>
      </c>
      <c r="AD12" s="415">
        <f t="shared" si="7"/>
        <v>20000</v>
      </c>
      <c r="AE12" s="415">
        <f t="shared" si="7"/>
        <v>20000</v>
      </c>
      <c r="AF12" s="416">
        <f t="shared" si="9"/>
        <v>230000</v>
      </c>
      <c r="AG12" s="415">
        <f t="shared" si="10"/>
        <v>20800</v>
      </c>
      <c r="AH12" s="415">
        <f t="shared" si="11"/>
        <v>20800</v>
      </c>
      <c r="AI12" s="415">
        <f t="shared" si="11"/>
        <v>20800</v>
      </c>
      <c r="AJ12" s="415">
        <f t="shared" si="11"/>
        <v>20800</v>
      </c>
      <c r="AK12" s="415">
        <f t="shared" si="11"/>
        <v>20800</v>
      </c>
      <c r="AL12" s="415">
        <f t="shared" si="11"/>
        <v>20800</v>
      </c>
      <c r="AM12" s="415">
        <f t="shared" si="11"/>
        <v>20800</v>
      </c>
      <c r="AN12" s="415">
        <f t="shared" si="11"/>
        <v>20800</v>
      </c>
      <c r="AO12" s="415">
        <f t="shared" si="11"/>
        <v>20800</v>
      </c>
      <c r="AP12" s="415">
        <f t="shared" si="11"/>
        <v>20800</v>
      </c>
      <c r="AQ12" s="415">
        <f t="shared" si="11"/>
        <v>20800</v>
      </c>
      <c r="AR12" s="415">
        <f t="shared" si="11"/>
        <v>20800</v>
      </c>
      <c r="AS12" s="416">
        <f t="shared" si="12"/>
        <v>249600</v>
      </c>
      <c r="AT12" s="415">
        <f t="shared" si="13"/>
        <v>21632</v>
      </c>
      <c r="AU12" s="415">
        <f t="shared" si="14"/>
        <v>21632</v>
      </c>
      <c r="AV12" s="415">
        <f t="shared" si="14"/>
        <v>21632</v>
      </c>
      <c r="AW12" s="415">
        <f t="shared" si="14"/>
        <v>21632</v>
      </c>
      <c r="AX12" s="415">
        <f t="shared" si="14"/>
        <v>21632</v>
      </c>
      <c r="AY12" s="415">
        <f t="shared" si="14"/>
        <v>21632</v>
      </c>
      <c r="AZ12" s="415">
        <f t="shared" si="14"/>
        <v>21632</v>
      </c>
      <c r="BA12" s="415">
        <f t="shared" si="14"/>
        <v>21632</v>
      </c>
      <c r="BB12" s="415">
        <f t="shared" si="14"/>
        <v>21632</v>
      </c>
      <c r="BC12" s="415">
        <f t="shared" si="14"/>
        <v>21632</v>
      </c>
      <c r="BD12" s="415">
        <f t="shared" si="14"/>
        <v>21632</v>
      </c>
      <c r="BE12" s="415">
        <f t="shared" si="14"/>
        <v>21632</v>
      </c>
      <c r="BF12" s="416">
        <f t="shared" si="15"/>
        <v>259584</v>
      </c>
      <c r="BG12" s="415">
        <f t="shared" si="16"/>
        <v>22497.280000000002</v>
      </c>
      <c r="BH12" s="415">
        <f t="shared" si="17"/>
        <v>22497.280000000002</v>
      </c>
      <c r="BI12" s="415">
        <f t="shared" si="17"/>
        <v>22497.280000000002</v>
      </c>
      <c r="BJ12" s="415">
        <f t="shared" si="17"/>
        <v>22497.280000000002</v>
      </c>
      <c r="BK12" s="415">
        <f t="shared" si="17"/>
        <v>22497.280000000002</v>
      </c>
      <c r="BL12" s="415">
        <f t="shared" si="17"/>
        <v>22497.280000000002</v>
      </c>
      <c r="BM12" s="415">
        <f t="shared" si="17"/>
        <v>22497.280000000002</v>
      </c>
      <c r="BN12" s="415">
        <f t="shared" si="17"/>
        <v>22497.280000000002</v>
      </c>
      <c r="BO12" s="415">
        <f t="shared" si="17"/>
        <v>22497.280000000002</v>
      </c>
      <c r="BP12" s="415">
        <f t="shared" si="17"/>
        <v>22497.280000000002</v>
      </c>
      <c r="BQ12" s="415">
        <f t="shared" si="17"/>
        <v>22497.280000000002</v>
      </c>
      <c r="BR12" s="415">
        <f t="shared" si="17"/>
        <v>22497.280000000002</v>
      </c>
      <c r="BS12" s="416">
        <f t="shared" si="18"/>
        <v>269967.36000000004</v>
      </c>
      <c r="BT12" s="415">
        <f t="shared" si="19"/>
        <v>23397.171200000004</v>
      </c>
      <c r="BU12" s="415">
        <f t="shared" si="20"/>
        <v>23397.171200000004</v>
      </c>
      <c r="BV12" s="415">
        <f t="shared" si="20"/>
        <v>23397.171200000004</v>
      </c>
      <c r="BW12" s="415">
        <f t="shared" si="20"/>
        <v>23397.171200000004</v>
      </c>
      <c r="BX12" s="415">
        <f t="shared" si="20"/>
        <v>23397.171200000004</v>
      </c>
      <c r="BY12" s="415">
        <f t="shared" si="20"/>
        <v>23397.171200000004</v>
      </c>
      <c r="BZ12" s="415">
        <f t="shared" si="20"/>
        <v>23397.171200000004</v>
      </c>
      <c r="CA12" s="415">
        <f t="shared" si="20"/>
        <v>23397.171200000004</v>
      </c>
      <c r="CB12" s="415">
        <f t="shared" si="20"/>
        <v>23397.171200000004</v>
      </c>
      <c r="CC12" s="415">
        <f t="shared" si="20"/>
        <v>23397.171200000004</v>
      </c>
      <c r="CD12" s="415">
        <f t="shared" si="20"/>
        <v>23397.171200000004</v>
      </c>
      <c r="CE12" s="415">
        <f t="shared" si="20"/>
        <v>23397.171200000004</v>
      </c>
      <c r="CF12" s="416">
        <f t="shared" si="21"/>
        <v>280766.05440000008</v>
      </c>
    </row>
    <row r="13" spans="1:84">
      <c r="A13" s="399"/>
      <c r="B13" s="412" t="s">
        <v>298</v>
      </c>
      <c r="C13" s="412" t="s">
        <v>299</v>
      </c>
      <c r="D13" s="413">
        <v>240000</v>
      </c>
      <c r="E13" s="413"/>
      <c r="F13" s="414" t="s">
        <v>49</v>
      </c>
      <c r="G13" s="415">
        <f>IF($F13=$G$6,(D13/12)+(E13/12),0)</f>
        <v>20000</v>
      </c>
      <c r="H13" s="415">
        <f t="shared" ref="H13:R13" si="99">G13</f>
        <v>20000</v>
      </c>
      <c r="I13" s="415">
        <f t="shared" si="99"/>
        <v>20000</v>
      </c>
      <c r="J13" s="415">
        <f t="shared" si="99"/>
        <v>20000</v>
      </c>
      <c r="K13" s="415">
        <f t="shared" si="99"/>
        <v>20000</v>
      </c>
      <c r="L13" s="415">
        <f t="shared" si="99"/>
        <v>20000</v>
      </c>
      <c r="M13" s="415">
        <f t="shared" si="99"/>
        <v>20000</v>
      </c>
      <c r="N13" s="415">
        <f t="shared" si="99"/>
        <v>20000</v>
      </c>
      <c r="O13" s="415">
        <f t="shared" si="99"/>
        <v>20000</v>
      </c>
      <c r="P13" s="415">
        <f t="shared" si="99"/>
        <v>20000</v>
      </c>
      <c r="Q13" s="415">
        <f t="shared" si="99"/>
        <v>20000</v>
      </c>
      <c r="R13" s="415">
        <f t="shared" si="99"/>
        <v>20000</v>
      </c>
      <c r="S13" s="416">
        <f>SUM(G13:R13)</f>
        <v>240000</v>
      </c>
      <c r="T13" s="415">
        <f t="shared" si="97"/>
        <v>20000</v>
      </c>
      <c r="U13" s="415">
        <f t="shared" si="98"/>
        <v>20000</v>
      </c>
      <c r="V13" s="415">
        <f t="shared" ref="V13:AE13" si="100">IF($F13=V$6,(($D13+$E13)/12),U13)</f>
        <v>20000</v>
      </c>
      <c r="W13" s="415">
        <f t="shared" si="100"/>
        <v>20000</v>
      </c>
      <c r="X13" s="415">
        <f t="shared" si="100"/>
        <v>20000</v>
      </c>
      <c r="Y13" s="415">
        <f t="shared" si="100"/>
        <v>20000</v>
      </c>
      <c r="Z13" s="415">
        <f t="shared" si="100"/>
        <v>20000</v>
      </c>
      <c r="AA13" s="415">
        <f t="shared" si="100"/>
        <v>20000</v>
      </c>
      <c r="AB13" s="415">
        <f t="shared" si="100"/>
        <v>20000</v>
      </c>
      <c r="AC13" s="415">
        <f t="shared" si="8"/>
        <v>20000</v>
      </c>
      <c r="AD13" s="415">
        <f t="shared" si="100"/>
        <v>20000</v>
      </c>
      <c r="AE13" s="415">
        <f t="shared" si="100"/>
        <v>20000</v>
      </c>
      <c r="AF13" s="416">
        <f>SUM(T13:AE13)</f>
        <v>240000</v>
      </c>
      <c r="AG13" s="415">
        <f>IF($F13=AG$6,($D13+$E13)/12,AE13*(1+AG$8))</f>
        <v>20800</v>
      </c>
      <c r="AH13" s="415">
        <f t="shared" ref="AH13:AR13" si="101">IF($F13=AH$6,(($D13+$E13)/12),AG13)</f>
        <v>20800</v>
      </c>
      <c r="AI13" s="415">
        <f t="shared" si="101"/>
        <v>20800</v>
      </c>
      <c r="AJ13" s="415">
        <f t="shared" si="101"/>
        <v>20800</v>
      </c>
      <c r="AK13" s="415">
        <f t="shared" si="101"/>
        <v>20800</v>
      </c>
      <c r="AL13" s="415">
        <f t="shared" si="101"/>
        <v>20800</v>
      </c>
      <c r="AM13" s="415">
        <f t="shared" si="101"/>
        <v>20800</v>
      </c>
      <c r="AN13" s="415">
        <f t="shared" si="101"/>
        <v>20800</v>
      </c>
      <c r="AO13" s="415">
        <f t="shared" si="101"/>
        <v>20800</v>
      </c>
      <c r="AP13" s="415">
        <f t="shared" si="101"/>
        <v>20800</v>
      </c>
      <c r="AQ13" s="415">
        <f t="shared" si="101"/>
        <v>20800</v>
      </c>
      <c r="AR13" s="415">
        <f t="shared" si="101"/>
        <v>20800</v>
      </c>
      <c r="AS13" s="416">
        <f>SUM(AG13:AR13)</f>
        <v>249600</v>
      </c>
      <c r="AT13" s="415">
        <f>IF($F13=AT$6,($D13+$E13)/12,AR13*(1+AT$8))</f>
        <v>21632</v>
      </c>
      <c r="AU13" s="415">
        <f t="shared" ref="AU13:BE13" si="102">IF($F13=AU$6,(($D13+$E13)/12),AT13)</f>
        <v>21632</v>
      </c>
      <c r="AV13" s="415">
        <f t="shared" si="102"/>
        <v>21632</v>
      </c>
      <c r="AW13" s="415">
        <f t="shared" si="102"/>
        <v>21632</v>
      </c>
      <c r="AX13" s="415">
        <f t="shared" si="102"/>
        <v>21632</v>
      </c>
      <c r="AY13" s="415">
        <f t="shared" si="102"/>
        <v>21632</v>
      </c>
      <c r="AZ13" s="415">
        <f t="shared" si="102"/>
        <v>21632</v>
      </c>
      <c r="BA13" s="415">
        <f t="shared" si="102"/>
        <v>21632</v>
      </c>
      <c r="BB13" s="415">
        <f t="shared" si="102"/>
        <v>21632</v>
      </c>
      <c r="BC13" s="415">
        <f t="shared" si="102"/>
        <v>21632</v>
      </c>
      <c r="BD13" s="415">
        <f t="shared" si="102"/>
        <v>21632</v>
      </c>
      <c r="BE13" s="415">
        <f t="shared" si="102"/>
        <v>21632</v>
      </c>
      <c r="BF13" s="416">
        <f>SUM(AT13:BE13)</f>
        <v>259584</v>
      </c>
      <c r="BG13" s="415">
        <f>IF($F13=BG$6,($D13+$E13)/12,BE13*(1+BG$8))</f>
        <v>22497.280000000002</v>
      </c>
      <c r="BH13" s="415">
        <f t="shared" ref="BH13:BR13" si="103">IF($F13=BH$6,(($D13+$E13)/12),BG13)</f>
        <v>22497.280000000002</v>
      </c>
      <c r="BI13" s="415">
        <f t="shared" si="103"/>
        <v>22497.280000000002</v>
      </c>
      <c r="BJ13" s="415">
        <f t="shared" si="103"/>
        <v>22497.280000000002</v>
      </c>
      <c r="BK13" s="415">
        <f t="shared" si="103"/>
        <v>22497.280000000002</v>
      </c>
      <c r="BL13" s="415">
        <f t="shared" si="103"/>
        <v>22497.280000000002</v>
      </c>
      <c r="BM13" s="415">
        <f t="shared" si="103"/>
        <v>22497.280000000002</v>
      </c>
      <c r="BN13" s="415">
        <f t="shared" si="103"/>
        <v>22497.280000000002</v>
      </c>
      <c r="BO13" s="415">
        <f t="shared" si="103"/>
        <v>22497.280000000002</v>
      </c>
      <c r="BP13" s="415">
        <f t="shared" si="103"/>
        <v>22497.280000000002</v>
      </c>
      <c r="BQ13" s="415">
        <f t="shared" si="103"/>
        <v>22497.280000000002</v>
      </c>
      <c r="BR13" s="415">
        <f t="shared" si="103"/>
        <v>22497.280000000002</v>
      </c>
      <c r="BS13" s="416">
        <f>SUM(BG13:BR13)</f>
        <v>269967.36000000004</v>
      </c>
      <c r="BT13" s="415">
        <f>IF($F13=BT$6,($D13+$E13)/12,BR13*(1+BT$8))</f>
        <v>23397.171200000004</v>
      </c>
      <c r="BU13" s="415">
        <f t="shared" ref="BU13:CE13" si="104">IF($F13=BU$6,(($D13+$E13)/12),BT13)</f>
        <v>23397.171200000004</v>
      </c>
      <c r="BV13" s="415">
        <f t="shared" si="104"/>
        <v>23397.171200000004</v>
      </c>
      <c r="BW13" s="415">
        <f t="shared" si="104"/>
        <v>23397.171200000004</v>
      </c>
      <c r="BX13" s="415">
        <f t="shared" si="104"/>
        <v>23397.171200000004</v>
      </c>
      <c r="BY13" s="415">
        <f t="shared" si="104"/>
        <v>23397.171200000004</v>
      </c>
      <c r="BZ13" s="415">
        <f t="shared" si="104"/>
        <v>23397.171200000004</v>
      </c>
      <c r="CA13" s="415">
        <f t="shared" si="104"/>
        <v>23397.171200000004</v>
      </c>
      <c r="CB13" s="415">
        <f t="shared" si="104"/>
        <v>23397.171200000004</v>
      </c>
      <c r="CC13" s="415">
        <f t="shared" si="104"/>
        <v>23397.171200000004</v>
      </c>
      <c r="CD13" s="415">
        <f t="shared" si="104"/>
        <v>23397.171200000004</v>
      </c>
      <c r="CE13" s="415">
        <f t="shared" si="104"/>
        <v>23397.171200000004</v>
      </c>
      <c r="CF13" s="416">
        <f>SUM(BT13:CE13)</f>
        <v>280766.05440000008</v>
      </c>
    </row>
    <row r="14" spans="1:84">
      <c r="A14" s="399"/>
      <c r="B14" s="412" t="s">
        <v>294</v>
      </c>
      <c r="C14" s="412" t="s">
        <v>295</v>
      </c>
      <c r="D14" s="413">
        <v>240000</v>
      </c>
      <c r="E14" s="413"/>
      <c r="F14" s="414" t="s">
        <v>49</v>
      </c>
      <c r="G14" s="415">
        <f t="shared" ref="G14:G74" si="105">IF($F14=$G$6,(D14/12)+(E14/12),0)</f>
        <v>20000</v>
      </c>
      <c r="H14" s="415">
        <f t="shared" si="4"/>
        <v>20000</v>
      </c>
      <c r="I14" s="415">
        <f t="shared" si="4"/>
        <v>20000</v>
      </c>
      <c r="J14" s="415">
        <f t="shared" si="4"/>
        <v>20000</v>
      </c>
      <c r="K14" s="415">
        <f t="shared" si="4"/>
        <v>20000</v>
      </c>
      <c r="L14" s="415">
        <f t="shared" si="4"/>
        <v>20000</v>
      </c>
      <c r="M14" s="415">
        <f t="shared" si="4"/>
        <v>20000</v>
      </c>
      <c r="N14" s="415">
        <f t="shared" si="4"/>
        <v>20000</v>
      </c>
      <c r="O14" s="415">
        <f t="shared" si="4"/>
        <v>20000</v>
      </c>
      <c r="P14" s="415">
        <f t="shared" si="4"/>
        <v>20000</v>
      </c>
      <c r="Q14" s="415">
        <f t="shared" si="4"/>
        <v>20000</v>
      </c>
      <c r="R14" s="415">
        <f t="shared" si="4"/>
        <v>20000</v>
      </c>
      <c r="S14" s="416">
        <f t="shared" si="5"/>
        <v>240000</v>
      </c>
      <c r="T14" s="415">
        <f t="shared" si="97"/>
        <v>20000</v>
      </c>
      <c r="U14" s="415">
        <f t="shared" si="98"/>
        <v>20000</v>
      </c>
      <c r="V14" s="415">
        <f t="shared" si="7"/>
        <v>20000</v>
      </c>
      <c r="W14" s="415">
        <f t="shared" si="7"/>
        <v>20000</v>
      </c>
      <c r="X14" s="415">
        <f t="shared" si="7"/>
        <v>20000</v>
      </c>
      <c r="Y14" s="415">
        <f t="shared" si="7"/>
        <v>20000</v>
      </c>
      <c r="Z14" s="415">
        <f t="shared" si="7"/>
        <v>20000</v>
      </c>
      <c r="AA14" s="415">
        <f t="shared" si="7"/>
        <v>20000</v>
      </c>
      <c r="AB14" s="415">
        <v>0</v>
      </c>
      <c r="AC14" s="415">
        <f t="shared" si="8"/>
        <v>20000</v>
      </c>
      <c r="AD14" s="415">
        <f t="shared" si="7"/>
        <v>20000</v>
      </c>
      <c r="AE14" s="415">
        <f t="shared" si="7"/>
        <v>20000</v>
      </c>
      <c r="AF14" s="416">
        <f t="shared" si="9"/>
        <v>220000</v>
      </c>
      <c r="AG14" s="415">
        <f t="shared" si="10"/>
        <v>20800</v>
      </c>
      <c r="AH14" s="415">
        <f t="shared" si="11"/>
        <v>20800</v>
      </c>
      <c r="AI14" s="415">
        <f t="shared" si="11"/>
        <v>20800</v>
      </c>
      <c r="AJ14" s="415">
        <f t="shared" si="11"/>
        <v>20800</v>
      </c>
      <c r="AK14" s="415">
        <f t="shared" si="11"/>
        <v>20800</v>
      </c>
      <c r="AL14" s="415">
        <f t="shared" si="11"/>
        <v>20800</v>
      </c>
      <c r="AM14" s="415">
        <f t="shared" si="11"/>
        <v>20800</v>
      </c>
      <c r="AN14" s="415">
        <f t="shared" si="11"/>
        <v>20800</v>
      </c>
      <c r="AO14" s="415">
        <f t="shared" si="11"/>
        <v>20800</v>
      </c>
      <c r="AP14" s="415">
        <f t="shared" si="11"/>
        <v>20800</v>
      </c>
      <c r="AQ14" s="415">
        <f t="shared" si="11"/>
        <v>20800</v>
      </c>
      <c r="AR14" s="415">
        <f t="shared" si="11"/>
        <v>20800</v>
      </c>
      <c r="AS14" s="416">
        <f t="shared" si="12"/>
        <v>249600</v>
      </c>
      <c r="AT14" s="415">
        <f t="shared" si="13"/>
        <v>21632</v>
      </c>
      <c r="AU14" s="415">
        <f t="shared" si="14"/>
        <v>21632</v>
      </c>
      <c r="AV14" s="415">
        <f t="shared" si="14"/>
        <v>21632</v>
      </c>
      <c r="AW14" s="415">
        <f t="shared" si="14"/>
        <v>21632</v>
      </c>
      <c r="AX14" s="415">
        <f t="shared" si="14"/>
        <v>21632</v>
      </c>
      <c r="AY14" s="415">
        <f t="shared" si="14"/>
        <v>21632</v>
      </c>
      <c r="AZ14" s="415">
        <f t="shared" si="14"/>
        <v>21632</v>
      </c>
      <c r="BA14" s="415">
        <f t="shared" si="14"/>
        <v>21632</v>
      </c>
      <c r="BB14" s="415">
        <f t="shared" si="14"/>
        <v>21632</v>
      </c>
      <c r="BC14" s="415">
        <f t="shared" si="14"/>
        <v>21632</v>
      </c>
      <c r="BD14" s="415">
        <f t="shared" si="14"/>
        <v>21632</v>
      </c>
      <c r="BE14" s="415">
        <f t="shared" si="14"/>
        <v>21632</v>
      </c>
      <c r="BF14" s="416">
        <f t="shared" si="15"/>
        <v>259584</v>
      </c>
      <c r="BG14" s="415">
        <f t="shared" si="16"/>
        <v>22497.280000000002</v>
      </c>
      <c r="BH14" s="415">
        <f t="shared" si="17"/>
        <v>22497.280000000002</v>
      </c>
      <c r="BI14" s="415">
        <f t="shared" si="17"/>
        <v>22497.280000000002</v>
      </c>
      <c r="BJ14" s="415">
        <f t="shared" si="17"/>
        <v>22497.280000000002</v>
      </c>
      <c r="BK14" s="415">
        <f t="shared" si="17"/>
        <v>22497.280000000002</v>
      </c>
      <c r="BL14" s="415">
        <f t="shared" si="17"/>
        <v>22497.280000000002</v>
      </c>
      <c r="BM14" s="415">
        <f t="shared" si="17"/>
        <v>22497.280000000002</v>
      </c>
      <c r="BN14" s="415">
        <f t="shared" si="17"/>
        <v>22497.280000000002</v>
      </c>
      <c r="BO14" s="415">
        <f t="shared" si="17"/>
        <v>22497.280000000002</v>
      </c>
      <c r="BP14" s="415">
        <f t="shared" si="17"/>
        <v>22497.280000000002</v>
      </c>
      <c r="BQ14" s="415">
        <f t="shared" si="17"/>
        <v>22497.280000000002</v>
      </c>
      <c r="BR14" s="415">
        <f t="shared" si="17"/>
        <v>22497.280000000002</v>
      </c>
      <c r="BS14" s="416">
        <f t="shared" si="18"/>
        <v>269967.36000000004</v>
      </c>
      <c r="BT14" s="415">
        <f t="shared" si="19"/>
        <v>23397.171200000004</v>
      </c>
      <c r="BU14" s="415">
        <f t="shared" si="20"/>
        <v>23397.171200000004</v>
      </c>
      <c r="BV14" s="415">
        <f t="shared" si="20"/>
        <v>23397.171200000004</v>
      </c>
      <c r="BW14" s="415">
        <f t="shared" si="20"/>
        <v>23397.171200000004</v>
      </c>
      <c r="BX14" s="415">
        <f t="shared" si="20"/>
        <v>23397.171200000004</v>
      </c>
      <c r="BY14" s="415">
        <f t="shared" si="20"/>
        <v>23397.171200000004</v>
      </c>
      <c r="BZ14" s="415">
        <f t="shared" si="20"/>
        <v>23397.171200000004</v>
      </c>
      <c r="CA14" s="415">
        <f t="shared" si="20"/>
        <v>23397.171200000004</v>
      </c>
      <c r="CB14" s="415">
        <f t="shared" si="20"/>
        <v>23397.171200000004</v>
      </c>
      <c r="CC14" s="415">
        <f t="shared" si="20"/>
        <v>23397.171200000004</v>
      </c>
      <c r="CD14" s="415">
        <f t="shared" si="20"/>
        <v>23397.171200000004</v>
      </c>
      <c r="CE14" s="415">
        <f t="shared" si="20"/>
        <v>23397.171200000004</v>
      </c>
      <c r="CF14" s="416">
        <f t="shared" si="21"/>
        <v>280766.05440000008</v>
      </c>
    </row>
    <row r="15" spans="1:84">
      <c r="A15" s="399"/>
      <c r="B15" s="412" t="s">
        <v>296</v>
      </c>
      <c r="C15" s="412" t="s">
        <v>297</v>
      </c>
      <c r="D15" s="413">
        <v>240000</v>
      </c>
      <c r="E15" s="413"/>
      <c r="F15" s="414" t="s">
        <v>49</v>
      </c>
      <c r="G15" s="415">
        <f t="shared" si="105"/>
        <v>20000</v>
      </c>
      <c r="H15" s="415">
        <f t="shared" si="4"/>
        <v>20000</v>
      </c>
      <c r="I15" s="415">
        <f t="shared" si="4"/>
        <v>20000</v>
      </c>
      <c r="J15" s="415">
        <f t="shared" si="4"/>
        <v>20000</v>
      </c>
      <c r="K15" s="415">
        <f t="shared" si="4"/>
        <v>20000</v>
      </c>
      <c r="L15" s="415">
        <f t="shared" si="4"/>
        <v>20000</v>
      </c>
      <c r="M15" s="415">
        <f t="shared" si="4"/>
        <v>20000</v>
      </c>
      <c r="N15" s="415">
        <f t="shared" si="4"/>
        <v>20000</v>
      </c>
      <c r="O15" s="415">
        <f t="shared" si="4"/>
        <v>20000</v>
      </c>
      <c r="P15" s="415">
        <f t="shared" si="4"/>
        <v>20000</v>
      </c>
      <c r="Q15" s="415">
        <f t="shared" si="4"/>
        <v>20000</v>
      </c>
      <c r="R15" s="415">
        <f t="shared" si="4"/>
        <v>20000</v>
      </c>
      <c r="S15" s="416">
        <f t="shared" si="5"/>
        <v>240000</v>
      </c>
      <c r="T15" s="415">
        <f t="shared" si="97"/>
        <v>20000</v>
      </c>
      <c r="U15" s="415">
        <f t="shared" si="98"/>
        <v>20000</v>
      </c>
      <c r="V15" s="415">
        <f t="shared" si="7"/>
        <v>20000</v>
      </c>
      <c r="W15" s="415">
        <f t="shared" si="7"/>
        <v>20000</v>
      </c>
      <c r="X15" s="415">
        <f t="shared" si="7"/>
        <v>20000</v>
      </c>
      <c r="Y15" s="415">
        <f t="shared" si="7"/>
        <v>20000</v>
      </c>
      <c r="Z15" s="415">
        <f t="shared" si="7"/>
        <v>20000</v>
      </c>
      <c r="AA15" s="415">
        <f t="shared" si="7"/>
        <v>20000</v>
      </c>
      <c r="AB15" s="415">
        <v>0</v>
      </c>
      <c r="AC15" s="415">
        <f t="shared" si="8"/>
        <v>20000</v>
      </c>
      <c r="AD15" s="415">
        <f t="shared" si="7"/>
        <v>20000</v>
      </c>
      <c r="AE15" s="415">
        <f t="shared" si="7"/>
        <v>20000</v>
      </c>
      <c r="AF15" s="416">
        <f t="shared" si="9"/>
        <v>220000</v>
      </c>
      <c r="AG15" s="415">
        <f>IF($F15=AG$6,($D15+$E15)/12,AE15*(1+AG$8))</f>
        <v>20800</v>
      </c>
      <c r="AH15" s="415">
        <f t="shared" si="11"/>
        <v>20800</v>
      </c>
      <c r="AI15" s="415">
        <f t="shared" si="11"/>
        <v>20800</v>
      </c>
      <c r="AJ15" s="415">
        <f t="shared" si="11"/>
        <v>20800</v>
      </c>
      <c r="AK15" s="415">
        <f t="shared" si="11"/>
        <v>20800</v>
      </c>
      <c r="AL15" s="415">
        <f t="shared" si="11"/>
        <v>20800</v>
      </c>
      <c r="AM15" s="415">
        <f t="shared" si="11"/>
        <v>20800</v>
      </c>
      <c r="AN15" s="415">
        <f t="shared" si="11"/>
        <v>20800</v>
      </c>
      <c r="AO15" s="415">
        <f t="shared" si="11"/>
        <v>20800</v>
      </c>
      <c r="AP15" s="415">
        <f t="shared" si="11"/>
        <v>20800</v>
      </c>
      <c r="AQ15" s="415">
        <f t="shared" si="11"/>
        <v>20800</v>
      </c>
      <c r="AR15" s="415">
        <f t="shared" si="11"/>
        <v>20800</v>
      </c>
      <c r="AS15" s="416">
        <f t="shared" si="12"/>
        <v>249600</v>
      </c>
      <c r="AT15" s="415">
        <f>IF($F15=AT$6,($D15+$E15)/12,AR15*(1+AT$8))</f>
        <v>21632</v>
      </c>
      <c r="AU15" s="415">
        <f t="shared" si="14"/>
        <v>21632</v>
      </c>
      <c r="AV15" s="415">
        <f t="shared" si="14"/>
        <v>21632</v>
      </c>
      <c r="AW15" s="415">
        <f t="shared" si="14"/>
        <v>21632</v>
      </c>
      <c r="AX15" s="415">
        <f t="shared" si="14"/>
        <v>21632</v>
      </c>
      <c r="AY15" s="415">
        <f t="shared" si="14"/>
        <v>21632</v>
      </c>
      <c r="AZ15" s="415">
        <f t="shared" si="14"/>
        <v>21632</v>
      </c>
      <c r="BA15" s="415">
        <f t="shared" si="14"/>
        <v>21632</v>
      </c>
      <c r="BB15" s="415">
        <f t="shared" si="14"/>
        <v>21632</v>
      </c>
      <c r="BC15" s="415">
        <f t="shared" si="14"/>
        <v>21632</v>
      </c>
      <c r="BD15" s="415">
        <f t="shared" si="14"/>
        <v>21632</v>
      </c>
      <c r="BE15" s="415">
        <f t="shared" si="14"/>
        <v>21632</v>
      </c>
      <c r="BF15" s="416">
        <f t="shared" si="15"/>
        <v>259584</v>
      </c>
      <c r="BG15" s="415">
        <f>IF($F15=BG$6,($D15+$E15)/12,BE15*(1+BG$8))</f>
        <v>22497.280000000002</v>
      </c>
      <c r="BH15" s="415">
        <f t="shared" si="17"/>
        <v>22497.280000000002</v>
      </c>
      <c r="BI15" s="415">
        <f t="shared" si="17"/>
        <v>22497.280000000002</v>
      </c>
      <c r="BJ15" s="415">
        <f t="shared" si="17"/>
        <v>22497.280000000002</v>
      </c>
      <c r="BK15" s="415">
        <f t="shared" si="17"/>
        <v>22497.280000000002</v>
      </c>
      <c r="BL15" s="415">
        <f t="shared" si="17"/>
        <v>22497.280000000002</v>
      </c>
      <c r="BM15" s="415">
        <f t="shared" si="17"/>
        <v>22497.280000000002</v>
      </c>
      <c r="BN15" s="415">
        <f t="shared" si="17"/>
        <v>22497.280000000002</v>
      </c>
      <c r="BO15" s="415">
        <f t="shared" si="17"/>
        <v>22497.280000000002</v>
      </c>
      <c r="BP15" s="415">
        <f t="shared" si="17"/>
        <v>22497.280000000002</v>
      </c>
      <c r="BQ15" s="415">
        <f t="shared" si="17"/>
        <v>22497.280000000002</v>
      </c>
      <c r="BR15" s="415">
        <f t="shared" si="17"/>
        <v>22497.280000000002</v>
      </c>
      <c r="BS15" s="416">
        <f t="shared" si="18"/>
        <v>269967.36000000004</v>
      </c>
      <c r="BT15" s="415">
        <f>IF($F15=BT$6,($D15+$E15)/12,BR15*(1+BT$8))</f>
        <v>23397.171200000004</v>
      </c>
      <c r="BU15" s="415">
        <f t="shared" si="20"/>
        <v>23397.171200000004</v>
      </c>
      <c r="BV15" s="415">
        <f t="shared" si="20"/>
        <v>23397.171200000004</v>
      </c>
      <c r="BW15" s="415">
        <f t="shared" si="20"/>
        <v>23397.171200000004</v>
      </c>
      <c r="BX15" s="415">
        <f t="shared" si="20"/>
        <v>23397.171200000004</v>
      </c>
      <c r="BY15" s="415">
        <f t="shared" si="20"/>
        <v>23397.171200000004</v>
      </c>
      <c r="BZ15" s="415">
        <f t="shared" si="20"/>
        <v>23397.171200000004</v>
      </c>
      <c r="CA15" s="415">
        <f t="shared" si="20"/>
        <v>23397.171200000004</v>
      </c>
      <c r="CB15" s="415">
        <f t="shared" si="20"/>
        <v>23397.171200000004</v>
      </c>
      <c r="CC15" s="415">
        <f t="shared" si="20"/>
        <v>23397.171200000004</v>
      </c>
      <c r="CD15" s="415">
        <f t="shared" si="20"/>
        <v>23397.171200000004</v>
      </c>
      <c r="CE15" s="415">
        <f t="shared" si="20"/>
        <v>23397.171200000004</v>
      </c>
      <c r="CF15" s="416">
        <f t="shared" si="21"/>
        <v>280766.05440000008</v>
      </c>
    </row>
    <row r="16" spans="1:84">
      <c r="A16" s="399"/>
      <c r="B16" s="412" t="s">
        <v>578</v>
      </c>
      <c r="C16" s="412" t="s">
        <v>588</v>
      </c>
      <c r="D16" s="413">
        <v>240000</v>
      </c>
      <c r="E16" s="413"/>
      <c r="F16" s="414" t="s">
        <v>49</v>
      </c>
      <c r="G16" s="415">
        <f>IF($F16=$G$6,(D16/12)+(E16/12),0)</f>
        <v>20000</v>
      </c>
      <c r="H16" s="415">
        <f t="shared" ref="H16:R16" si="106">G16</f>
        <v>20000</v>
      </c>
      <c r="I16" s="415">
        <f t="shared" si="106"/>
        <v>20000</v>
      </c>
      <c r="J16" s="415">
        <f t="shared" si="106"/>
        <v>20000</v>
      </c>
      <c r="K16" s="415">
        <f t="shared" si="106"/>
        <v>20000</v>
      </c>
      <c r="L16" s="415">
        <f t="shared" si="106"/>
        <v>20000</v>
      </c>
      <c r="M16" s="415">
        <f t="shared" si="106"/>
        <v>20000</v>
      </c>
      <c r="N16" s="415">
        <f t="shared" si="106"/>
        <v>20000</v>
      </c>
      <c r="O16" s="415">
        <f t="shared" si="106"/>
        <v>20000</v>
      </c>
      <c r="P16" s="415">
        <f t="shared" si="106"/>
        <v>20000</v>
      </c>
      <c r="Q16" s="415">
        <f t="shared" si="106"/>
        <v>20000</v>
      </c>
      <c r="R16" s="415">
        <f t="shared" si="106"/>
        <v>20000</v>
      </c>
      <c r="S16" s="416">
        <f>SUM(G16:R16)</f>
        <v>240000</v>
      </c>
      <c r="T16" s="415">
        <f t="shared" si="97"/>
        <v>20000</v>
      </c>
      <c r="U16" s="415">
        <f t="shared" si="98"/>
        <v>20000</v>
      </c>
      <c r="V16" s="415">
        <f t="shared" ref="V16:AE16" si="107">IF($F16=V$6,(($D16+$E16)/12),U16)</f>
        <v>20000</v>
      </c>
      <c r="W16" s="415">
        <f t="shared" si="107"/>
        <v>20000</v>
      </c>
      <c r="X16" s="415">
        <f t="shared" si="107"/>
        <v>20000</v>
      </c>
      <c r="Y16" s="415">
        <f t="shared" si="107"/>
        <v>20000</v>
      </c>
      <c r="Z16" s="415">
        <f t="shared" si="107"/>
        <v>20000</v>
      </c>
      <c r="AA16" s="415">
        <f t="shared" si="107"/>
        <v>20000</v>
      </c>
      <c r="AB16" s="415">
        <v>0</v>
      </c>
      <c r="AC16" s="415">
        <f t="shared" si="8"/>
        <v>20000</v>
      </c>
      <c r="AD16" s="415">
        <f t="shared" si="107"/>
        <v>20000</v>
      </c>
      <c r="AE16" s="415">
        <f t="shared" si="107"/>
        <v>20000</v>
      </c>
      <c r="AF16" s="416">
        <f>SUM(T16:AE16)</f>
        <v>220000</v>
      </c>
      <c r="AG16" s="415">
        <f>IF($F16=AG$6,($D16+$E16)/12,AE16*(1+AG$8))</f>
        <v>20800</v>
      </c>
      <c r="AH16" s="415">
        <f t="shared" ref="AH16:AR16" si="108">IF($F16=AH$6,(($D16+$E16)/12),AG16)</f>
        <v>20800</v>
      </c>
      <c r="AI16" s="415">
        <f t="shared" si="108"/>
        <v>20800</v>
      </c>
      <c r="AJ16" s="415">
        <f t="shared" si="108"/>
        <v>20800</v>
      </c>
      <c r="AK16" s="415">
        <f t="shared" si="108"/>
        <v>20800</v>
      </c>
      <c r="AL16" s="415">
        <f t="shared" si="108"/>
        <v>20800</v>
      </c>
      <c r="AM16" s="415">
        <f t="shared" si="108"/>
        <v>20800</v>
      </c>
      <c r="AN16" s="415">
        <f t="shared" si="108"/>
        <v>20800</v>
      </c>
      <c r="AO16" s="415">
        <f t="shared" si="108"/>
        <v>20800</v>
      </c>
      <c r="AP16" s="415">
        <f t="shared" si="108"/>
        <v>20800</v>
      </c>
      <c r="AQ16" s="415">
        <f t="shared" si="108"/>
        <v>20800</v>
      </c>
      <c r="AR16" s="415">
        <f t="shared" si="108"/>
        <v>20800</v>
      </c>
      <c r="AS16" s="416">
        <f>SUM(AG16:AR16)</f>
        <v>249600</v>
      </c>
      <c r="AT16" s="415">
        <f>IF($F16=AT$6,($D16+$E16)/12,AR16*(1+AT$8))</f>
        <v>21632</v>
      </c>
      <c r="AU16" s="415">
        <f t="shared" ref="AU16:BE16" si="109">IF($F16=AU$6,(($D16+$E16)/12),AT16)</f>
        <v>21632</v>
      </c>
      <c r="AV16" s="415">
        <f t="shared" si="109"/>
        <v>21632</v>
      </c>
      <c r="AW16" s="415">
        <f t="shared" si="109"/>
        <v>21632</v>
      </c>
      <c r="AX16" s="415">
        <f t="shared" si="109"/>
        <v>21632</v>
      </c>
      <c r="AY16" s="415">
        <f t="shared" si="109"/>
        <v>21632</v>
      </c>
      <c r="AZ16" s="415">
        <f t="shared" si="109"/>
        <v>21632</v>
      </c>
      <c r="BA16" s="415">
        <f t="shared" si="109"/>
        <v>21632</v>
      </c>
      <c r="BB16" s="415">
        <f t="shared" si="109"/>
        <v>21632</v>
      </c>
      <c r="BC16" s="415">
        <f t="shared" si="109"/>
        <v>21632</v>
      </c>
      <c r="BD16" s="415">
        <f t="shared" si="109"/>
        <v>21632</v>
      </c>
      <c r="BE16" s="415">
        <f t="shared" si="109"/>
        <v>21632</v>
      </c>
      <c r="BF16" s="416">
        <f>SUM(AT16:BE16)</f>
        <v>259584</v>
      </c>
      <c r="BG16" s="415">
        <f>IF($F16=BG$6,($D16+$E16)/12,BE16*(1+BG$8))</f>
        <v>22497.280000000002</v>
      </c>
      <c r="BH16" s="415">
        <f t="shared" ref="BH16:BR16" si="110">IF($F16=BH$6,(($D16+$E16)/12),BG16)</f>
        <v>22497.280000000002</v>
      </c>
      <c r="BI16" s="415">
        <f t="shared" si="110"/>
        <v>22497.280000000002</v>
      </c>
      <c r="BJ16" s="415">
        <f t="shared" si="110"/>
        <v>22497.280000000002</v>
      </c>
      <c r="BK16" s="415">
        <f t="shared" si="110"/>
        <v>22497.280000000002</v>
      </c>
      <c r="BL16" s="415">
        <f t="shared" si="110"/>
        <v>22497.280000000002</v>
      </c>
      <c r="BM16" s="415">
        <f t="shared" si="110"/>
        <v>22497.280000000002</v>
      </c>
      <c r="BN16" s="415">
        <f t="shared" si="110"/>
        <v>22497.280000000002</v>
      </c>
      <c r="BO16" s="415">
        <f t="shared" si="110"/>
        <v>22497.280000000002</v>
      </c>
      <c r="BP16" s="415">
        <f t="shared" si="110"/>
        <v>22497.280000000002</v>
      </c>
      <c r="BQ16" s="415">
        <f t="shared" si="110"/>
        <v>22497.280000000002</v>
      </c>
      <c r="BR16" s="415">
        <f t="shared" si="110"/>
        <v>22497.280000000002</v>
      </c>
      <c r="BS16" s="416">
        <f>SUM(BG16:BR16)</f>
        <v>269967.36000000004</v>
      </c>
      <c r="BT16" s="415">
        <f>IF($F16=BT$6,($D16+$E16)/12,BR16*(1+BT$8))</f>
        <v>23397.171200000004</v>
      </c>
      <c r="BU16" s="415">
        <f t="shared" ref="BU16:CE16" si="111">IF($F16=BU$6,(($D16+$E16)/12),BT16)</f>
        <v>23397.171200000004</v>
      </c>
      <c r="BV16" s="415">
        <f t="shared" si="111"/>
        <v>23397.171200000004</v>
      </c>
      <c r="BW16" s="415">
        <f t="shared" si="111"/>
        <v>23397.171200000004</v>
      </c>
      <c r="BX16" s="415">
        <f t="shared" si="111"/>
        <v>23397.171200000004</v>
      </c>
      <c r="BY16" s="415">
        <f t="shared" si="111"/>
        <v>23397.171200000004</v>
      </c>
      <c r="BZ16" s="415">
        <f t="shared" si="111"/>
        <v>23397.171200000004</v>
      </c>
      <c r="CA16" s="415">
        <f t="shared" si="111"/>
        <v>23397.171200000004</v>
      </c>
      <c r="CB16" s="415">
        <f t="shared" si="111"/>
        <v>23397.171200000004</v>
      </c>
      <c r="CC16" s="415">
        <f t="shared" si="111"/>
        <v>23397.171200000004</v>
      </c>
      <c r="CD16" s="415">
        <f t="shared" si="111"/>
        <v>23397.171200000004</v>
      </c>
      <c r="CE16" s="415">
        <f t="shared" si="111"/>
        <v>23397.171200000004</v>
      </c>
      <c r="CF16" s="416">
        <f>SUM(BT16:CE16)</f>
        <v>280766.05440000008</v>
      </c>
    </row>
    <row r="17" spans="1:84">
      <c r="A17" s="399"/>
      <c r="B17" s="479" t="s">
        <v>137</v>
      </c>
      <c r="C17" s="412" t="s">
        <v>586</v>
      </c>
      <c r="D17" s="413">
        <v>200000</v>
      </c>
      <c r="E17" s="413"/>
      <c r="F17" s="414" t="s">
        <v>322</v>
      </c>
      <c r="G17" s="415">
        <f>IF($F17=$G$6,(D17/12)+(E17/12),0)</f>
        <v>0</v>
      </c>
      <c r="H17" s="415">
        <f t="shared" ref="H17:R17" si="112">G17</f>
        <v>0</v>
      </c>
      <c r="I17" s="415">
        <f t="shared" si="112"/>
        <v>0</v>
      </c>
      <c r="J17" s="415">
        <f t="shared" si="112"/>
        <v>0</v>
      </c>
      <c r="K17" s="415">
        <f t="shared" si="112"/>
        <v>0</v>
      </c>
      <c r="L17" s="415">
        <f t="shared" si="112"/>
        <v>0</v>
      </c>
      <c r="M17" s="415">
        <f t="shared" si="112"/>
        <v>0</v>
      </c>
      <c r="N17" s="415">
        <f t="shared" si="112"/>
        <v>0</v>
      </c>
      <c r="O17" s="415">
        <f t="shared" si="112"/>
        <v>0</v>
      </c>
      <c r="P17" s="415">
        <f t="shared" si="112"/>
        <v>0</v>
      </c>
      <c r="Q17" s="415">
        <f t="shared" si="112"/>
        <v>0</v>
      </c>
      <c r="R17" s="415">
        <f t="shared" si="112"/>
        <v>0</v>
      </c>
      <c r="S17" s="416">
        <f>SUM(G17:R17)</f>
        <v>0</v>
      </c>
      <c r="T17" s="415">
        <f>IF($F17=T$6,(($D17+$E17)*(1+$T$8))/12,R17*(1+T$8))</f>
        <v>0</v>
      </c>
      <c r="U17" s="415">
        <f t="shared" ref="U17:AE17" si="113">IF($F17=U$6,(($D17+$E17)/12),T17)</f>
        <v>0</v>
      </c>
      <c r="V17" s="415">
        <f t="shared" si="113"/>
        <v>0</v>
      </c>
      <c r="W17" s="415">
        <f t="shared" si="113"/>
        <v>0</v>
      </c>
      <c r="X17" s="415">
        <f t="shared" si="113"/>
        <v>0</v>
      </c>
      <c r="Y17" s="415">
        <f t="shared" si="113"/>
        <v>0</v>
      </c>
      <c r="Z17" s="415">
        <f t="shared" si="113"/>
        <v>0</v>
      </c>
      <c r="AA17" s="415">
        <f t="shared" si="113"/>
        <v>0</v>
      </c>
      <c r="AB17" s="415">
        <f t="shared" si="113"/>
        <v>0</v>
      </c>
      <c r="AC17" s="415">
        <f t="shared" si="113"/>
        <v>0</v>
      </c>
      <c r="AD17" s="415">
        <f t="shared" si="113"/>
        <v>0</v>
      </c>
      <c r="AE17" s="415">
        <f t="shared" si="113"/>
        <v>0</v>
      </c>
      <c r="AF17" s="416">
        <f>SUM(T17:AE17)</f>
        <v>0</v>
      </c>
      <c r="AG17" s="415">
        <f>IF($F17=AG$6,($D17+$E17)/12,AE17*(1+AG$8))</f>
        <v>0</v>
      </c>
      <c r="AH17" s="415">
        <f t="shared" ref="AH17:AR17" si="114">IF($F17=AH$6,(($D17+$E17)/12),AG17)</f>
        <v>0</v>
      </c>
      <c r="AI17" s="415">
        <f t="shared" si="114"/>
        <v>0</v>
      </c>
      <c r="AJ17" s="415">
        <f t="shared" si="114"/>
        <v>0</v>
      </c>
      <c r="AK17" s="415">
        <f t="shared" si="114"/>
        <v>0</v>
      </c>
      <c r="AL17" s="415">
        <f t="shared" si="114"/>
        <v>0</v>
      </c>
      <c r="AM17" s="415">
        <f t="shared" si="114"/>
        <v>0</v>
      </c>
      <c r="AN17" s="415">
        <f t="shared" si="114"/>
        <v>0</v>
      </c>
      <c r="AO17" s="415">
        <f t="shared" si="114"/>
        <v>0</v>
      </c>
      <c r="AP17" s="415">
        <f t="shared" si="114"/>
        <v>0</v>
      </c>
      <c r="AQ17" s="415">
        <f t="shared" si="114"/>
        <v>0</v>
      </c>
      <c r="AR17" s="415">
        <f t="shared" si="114"/>
        <v>0</v>
      </c>
      <c r="AS17" s="416">
        <f>SUM(AG17:AR17)</f>
        <v>0</v>
      </c>
      <c r="AT17" s="415">
        <f>IF($F17=AT$6,($D17+$E17)/12,AR17*(1+AT$8))</f>
        <v>0</v>
      </c>
      <c r="AU17" s="415">
        <f t="shared" ref="AU17:BE17" si="115">IF($F17=AU$6,(($D17+$E17)/12),AT17)</f>
        <v>0</v>
      </c>
      <c r="AV17" s="415">
        <f t="shared" si="115"/>
        <v>0</v>
      </c>
      <c r="AW17" s="415">
        <f t="shared" si="115"/>
        <v>16666.666666666668</v>
      </c>
      <c r="AX17" s="415">
        <f t="shared" si="115"/>
        <v>16666.666666666668</v>
      </c>
      <c r="AY17" s="415">
        <f t="shared" si="115"/>
        <v>16666.666666666668</v>
      </c>
      <c r="AZ17" s="415">
        <f t="shared" si="115"/>
        <v>16666.666666666668</v>
      </c>
      <c r="BA17" s="415">
        <f t="shared" si="115"/>
        <v>16666.666666666668</v>
      </c>
      <c r="BB17" s="415">
        <f t="shared" si="115"/>
        <v>16666.666666666668</v>
      </c>
      <c r="BC17" s="415">
        <f t="shared" si="115"/>
        <v>16666.666666666668</v>
      </c>
      <c r="BD17" s="415">
        <f t="shared" si="115"/>
        <v>16666.666666666668</v>
      </c>
      <c r="BE17" s="415">
        <f t="shared" si="115"/>
        <v>16666.666666666668</v>
      </c>
      <c r="BF17" s="416">
        <f>SUM(AT17:BE17)</f>
        <v>150000</v>
      </c>
      <c r="BG17" s="415">
        <f>IF($F17=BG$6,($D17+$E17)/12,BE17*(1+BG$8))</f>
        <v>17333.333333333336</v>
      </c>
      <c r="BH17" s="415">
        <f t="shared" ref="BH17:BR17" si="116">IF($F17=BH$6,(($D17+$E17)/12),BG17)</f>
        <v>17333.333333333336</v>
      </c>
      <c r="BI17" s="415">
        <f t="shared" si="116"/>
        <v>17333.333333333336</v>
      </c>
      <c r="BJ17" s="415">
        <f t="shared" si="116"/>
        <v>17333.333333333336</v>
      </c>
      <c r="BK17" s="415">
        <f t="shared" si="116"/>
        <v>17333.333333333336</v>
      </c>
      <c r="BL17" s="415">
        <f t="shared" si="116"/>
        <v>17333.333333333336</v>
      </c>
      <c r="BM17" s="415">
        <f t="shared" si="116"/>
        <v>17333.333333333336</v>
      </c>
      <c r="BN17" s="415">
        <f t="shared" si="116"/>
        <v>17333.333333333336</v>
      </c>
      <c r="BO17" s="415">
        <f t="shared" si="116"/>
        <v>17333.333333333336</v>
      </c>
      <c r="BP17" s="415">
        <f t="shared" si="116"/>
        <v>17333.333333333336</v>
      </c>
      <c r="BQ17" s="415">
        <f t="shared" si="116"/>
        <v>17333.333333333336</v>
      </c>
      <c r="BR17" s="415">
        <f t="shared" si="116"/>
        <v>17333.333333333336</v>
      </c>
      <c r="BS17" s="416">
        <f>SUM(BG17:BR17)</f>
        <v>208000.00000000009</v>
      </c>
      <c r="BT17" s="415">
        <f>IF($F17=BT$6,($D17+$E17)/12,BR17*(1+BT$8))</f>
        <v>18026.666666666672</v>
      </c>
      <c r="BU17" s="415">
        <f t="shared" ref="BU17:CE17" si="117">IF($F17=BU$6,(($D17+$E17)/12),BT17)</f>
        <v>18026.666666666672</v>
      </c>
      <c r="BV17" s="415">
        <f t="shared" si="117"/>
        <v>18026.666666666672</v>
      </c>
      <c r="BW17" s="415">
        <f t="shared" si="117"/>
        <v>18026.666666666672</v>
      </c>
      <c r="BX17" s="415">
        <f t="shared" si="117"/>
        <v>18026.666666666672</v>
      </c>
      <c r="BY17" s="415">
        <f t="shared" si="117"/>
        <v>18026.666666666672</v>
      </c>
      <c r="BZ17" s="415">
        <f t="shared" si="117"/>
        <v>18026.666666666672</v>
      </c>
      <c r="CA17" s="415">
        <f t="shared" si="117"/>
        <v>18026.666666666672</v>
      </c>
      <c r="CB17" s="415">
        <f t="shared" si="117"/>
        <v>18026.666666666672</v>
      </c>
      <c r="CC17" s="415">
        <f t="shared" si="117"/>
        <v>18026.666666666672</v>
      </c>
      <c r="CD17" s="415">
        <f t="shared" si="117"/>
        <v>18026.666666666672</v>
      </c>
      <c r="CE17" s="415">
        <f t="shared" si="117"/>
        <v>18026.666666666672</v>
      </c>
      <c r="CF17" s="416">
        <f>SUM(BT17:CE17)</f>
        <v>216320.00000000012</v>
      </c>
    </row>
    <row r="18" spans="1:84">
      <c r="A18" s="399"/>
      <c r="B18" s="412" t="s">
        <v>137</v>
      </c>
      <c r="C18" s="412" t="s">
        <v>587</v>
      </c>
      <c r="D18" s="413">
        <v>200000</v>
      </c>
      <c r="E18" s="413"/>
      <c r="F18" s="414" t="s">
        <v>319</v>
      </c>
      <c r="G18" s="415">
        <f t="shared" si="105"/>
        <v>0</v>
      </c>
      <c r="H18" s="415">
        <f t="shared" si="4"/>
        <v>0</v>
      </c>
      <c r="I18" s="415">
        <f t="shared" si="4"/>
        <v>0</v>
      </c>
      <c r="J18" s="415">
        <f t="shared" si="4"/>
        <v>0</v>
      </c>
      <c r="K18" s="415">
        <f t="shared" si="4"/>
        <v>0</v>
      </c>
      <c r="L18" s="415">
        <f t="shared" si="4"/>
        <v>0</v>
      </c>
      <c r="M18" s="415">
        <f t="shared" si="4"/>
        <v>0</v>
      </c>
      <c r="N18" s="415">
        <f t="shared" si="4"/>
        <v>0</v>
      </c>
      <c r="O18" s="415">
        <f t="shared" si="4"/>
        <v>0</v>
      </c>
      <c r="P18" s="415">
        <f t="shared" si="4"/>
        <v>0</v>
      </c>
      <c r="Q18" s="415">
        <f t="shared" si="4"/>
        <v>0</v>
      </c>
      <c r="R18" s="415">
        <f t="shared" si="4"/>
        <v>0</v>
      </c>
      <c r="S18" s="416">
        <f t="shared" si="5"/>
        <v>0</v>
      </c>
      <c r="T18" s="415">
        <f t="shared" si="6"/>
        <v>0</v>
      </c>
      <c r="U18" s="415">
        <f t="shared" si="7"/>
        <v>0</v>
      </c>
      <c r="V18" s="415">
        <f t="shared" si="7"/>
        <v>0</v>
      </c>
      <c r="W18" s="415">
        <f t="shared" si="7"/>
        <v>0</v>
      </c>
      <c r="X18" s="415">
        <f t="shared" si="7"/>
        <v>0</v>
      </c>
      <c r="Y18" s="415">
        <f t="shared" si="7"/>
        <v>0</v>
      </c>
      <c r="Z18" s="415">
        <f t="shared" si="7"/>
        <v>0</v>
      </c>
      <c r="AA18" s="415">
        <f t="shared" si="7"/>
        <v>0</v>
      </c>
      <c r="AB18" s="415">
        <f t="shared" si="7"/>
        <v>0</v>
      </c>
      <c r="AC18" s="415">
        <f t="shared" si="7"/>
        <v>0</v>
      </c>
      <c r="AD18" s="415">
        <f t="shared" si="7"/>
        <v>0</v>
      </c>
      <c r="AE18" s="415">
        <f t="shared" si="7"/>
        <v>0</v>
      </c>
      <c r="AF18" s="416">
        <f t="shared" si="9"/>
        <v>0</v>
      </c>
      <c r="AG18" s="415">
        <f>IF($F18=AG$6,($D18+$E18)/12,AE18*(1+AG$8))</f>
        <v>0</v>
      </c>
      <c r="AH18" s="415">
        <f t="shared" si="11"/>
        <v>0</v>
      </c>
      <c r="AI18" s="415">
        <f t="shared" si="11"/>
        <v>0</v>
      </c>
      <c r="AJ18" s="415">
        <f t="shared" si="11"/>
        <v>0</v>
      </c>
      <c r="AK18" s="415">
        <f t="shared" si="11"/>
        <v>0</v>
      </c>
      <c r="AL18" s="415">
        <f t="shared" si="11"/>
        <v>0</v>
      </c>
      <c r="AM18" s="415">
        <f t="shared" si="11"/>
        <v>0</v>
      </c>
      <c r="AN18" s="415">
        <f t="shared" si="11"/>
        <v>0</v>
      </c>
      <c r="AO18" s="415">
        <f t="shared" si="11"/>
        <v>0</v>
      </c>
      <c r="AP18" s="415">
        <f t="shared" si="11"/>
        <v>0</v>
      </c>
      <c r="AQ18" s="415">
        <f t="shared" si="11"/>
        <v>0</v>
      </c>
      <c r="AR18" s="415">
        <f t="shared" si="11"/>
        <v>0</v>
      </c>
      <c r="AS18" s="416">
        <f t="shared" si="12"/>
        <v>0</v>
      </c>
      <c r="AT18" s="415">
        <f>IF($F18=AT$6,($D18+$E18)/12,AR18*(1+AT$8))</f>
        <v>16666.666666666668</v>
      </c>
      <c r="AU18" s="415">
        <f t="shared" si="14"/>
        <v>16666.666666666668</v>
      </c>
      <c r="AV18" s="415">
        <f t="shared" si="14"/>
        <v>16666.666666666668</v>
      </c>
      <c r="AW18" s="415">
        <f t="shared" si="14"/>
        <v>16666.666666666668</v>
      </c>
      <c r="AX18" s="415">
        <f t="shared" si="14"/>
        <v>16666.666666666668</v>
      </c>
      <c r="AY18" s="415">
        <f t="shared" si="14"/>
        <v>16666.666666666668</v>
      </c>
      <c r="AZ18" s="415">
        <f t="shared" si="14"/>
        <v>16666.666666666668</v>
      </c>
      <c r="BA18" s="415">
        <f t="shared" si="14"/>
        <v>16666.666666666668</v>
      </c>
      <c r="BB18" s="415">
        <f t="shared" si="14"/>
        <v>16666.666666666668</v>
      </c>
      <c r="BC18" s="415">
        <f t="shared" si="14"/>
        <v>16666.666666666668</v>
      </c>
      <c r="BD18" s="415">
        <f t="shared" si="14"/>
        <v>16666.666666666668</v>
      </c>
      <c r="BE18" s="415">
        <f t="shared" si="14"/>
        <v>16666.666666666668</v>
      </c>
      <c r="BF18" s="416">
        <f t="shared" si="15"/>
        <v>199999.99999999997</v>
      </c>
      <c r="BG18" s="415">
        <f>IF($F18=BG$6,($D18+$E18)/12,BE18*(1+BG$8))</f>
        <v>17333.333333333336</v>
      </c>
      <c r="BH18" s="415">
        <f t="shared" si="17"/>
        <v>17333.333333333336</v>
      </c>
      <c r="BI18" s="415">
        <f t="shared" si="17"/>
        <v>17333.333333333336</v>
      </c>
      <c r="BJ18" s="415">
        <f t="shared" si="17"/>
        <v>17333.333333333336</v>
      </c>
      <c r="BK18" s="415">
        <f t="shared" si="17"/>
        <v>17333.333333333336</v>
      </c>
      <c r="BL18" s="415">
        <f t="shared" si="17"/>
        <v>17333.333333333336</v>
      </c>
      <c r="BM18" s="415">
        <f t="shared" si="17"/>
        <v>17333.333333333336</v>
      </c>
      <c r="BN18" s="415">
        <f t="shared" si="17"/>
        <v>17333.333333333336</v>
      </c>
      <c r="BO18" s="415">
        <f t="shared" si="17"/>
        <v>17333.333333333336</v>
      </c>
      <c r="BP18" s="415">
        <f t="shared" si="17"/>
        <v>17333.333333333336</v>
      </c>
      <c r="BQ18" s="415">
        <f t="shared" si="17"/>
        <v>17333.333333333336</v>
      </c>
      <c r="BR18" s="415">
        <f t="shared" si="17"/>
        <v>17333.333333333336</v>
      </c>
      <c r="BS18" s="416">
        <f t="shared" si="18"/>
        <v>208000.00000000009</v>
      </c>
      <c r="BT18" s="415">
        <f>IF($F18=BT$6,($D18+$E18)/12,BR18*(1+BT$8))</f>
        <v>18026.666666666672</v>
      </c>
      <c r="BU18" s="415">
        <f t="shared" si="20"/>
        <v>18026.666666666672</v>
      </c>
      <c r="BV18" s="415">
        <f t="shared" si="20"/>
        <v>18026.666666666672</v>
      </c>
      <c r="BW18" s="415">
        <f t="shared" si="20"/>
        <v>18026.666666666672</v>
      </c>
      <c r="BX18" s="415">
        <f t="shared" si="20"/>
        <v>18026.666666666672</v>
      </c>
      <c r="BY18" s="415">
        <f t="shared" si="20"/>
        <v>18026.666666666672</v>
      </c>
      <c r="BZ18" s="415">
        <f t="shared" si="20"/>
        <v>18026.666666666672</v>
      </c>
      <c r="CA18" s="415">
        <f t="shared" si="20"/>
        <v>18026.666666666672</v>
      </c>
      <c r="CB18" s="415">
        <f t="shared" si="20"/>
        <v>18026.666666666672</v>
      </c>
      <c r="CC18" s="415">
        <f t="shared" si="20"/>
        <v>18026.666666666672</v>
      </c>
      <c r="CD18" s="415">
        <f t="shared" si="20"/>
        <v>18026.666666666672</v>
      </c>
      <c r="CE18" s="415">
        <f t="shared" si="20"/>
        <v>18026.666666666672</v>
      </c>
      <c r="CF18" s="416">
        <f t="shared" si="21"/>
        <v>216320.00000000012</v>
      </c>
    </row>
    <row r="19" spans="1:84">
      <c r="A19" s="399"/>
      <c r="B19" s="479" t="s">
        <v>901</v>
      </c>
      <c r="C19" s="412" t="s">
        <v>589</v>
      </c>
      <c r="D19" s="413">
        <v>240000</v>
      </c>
      <c r="E19" s="413"/>
      <c r="F19" s="414" t="s">
        <v>313</v>
      </c>
      <c r="G19" s="415">
        <f t="shared" si="105"/>
        <v>0</v>
      </c>
      <c r="H19" s="415">
        <f t="shared" si="4"/>
        <v>0</v>
      </c>
      <c r="I19" s="415">
        <f t="shared" si="4"/>
        <v>0</v>
      </c>
      <c r="J19" s="415">
        <f t="shared" si="4"/>
        <v>0</v>
      </c>
      <c r="K19" s="415">
        <f t="shared" si="4"/>
        <v>0</v>
      </c>
      <c r="L19" s="415">
        <f t="shared" si="4"/>
        <v>0</v>
      </c>
      <c r="M19" s="415">
        <f t="shared" si="4"/>
        <v>0</v>
      </c>
      <c r="N19" s="415">
        <f t="shared" si="4"/>
        <v>0</v>
      </c>
      <c r="O19" s="415">
        <f t="shared" si="4"/>
        <v>0</v>
      </c>
      <c r="P19" s="415">
        <f t="shared" si="4"/>
        <v>0</v>
      </c>
      <c r="Q19" s="415">
        <f t="shared" si="4"/>
        <v>0</v>
      </c>
      <c r="R19" s="415">
        <f t="shared" si="4"/>
        <v>0</v>
      </c>
      <c r="S19" s="416">
        <f t="shared" si="5"/>
        <v>0</v>
      </c>
      <c r="T19" s="415">
        <f>IF($F19=T$6,(($D19+$E19)*(1+$T$8))/12,R19*(1+T$8))/2</f>
        <v>0</v>
      </c>
      <c r="U19" s="415">
        <f>IF($F19=U$6,(($D19+$E19)/12),T19)*2</f>
        <v>0</v>
      </c>
      <c r="V19" s="415">
        <f t="shared" si="7"/>
        <v>0</v>
      </c>
      <c r="W19" s="415">
        <f t="shared" si="7"/>
        <v>0</v>
      </c>
      <c r="X19" s="415">
        <f t="shared" si="7"/>
        <v>0</v>
      </c>
      <c r="Y19" s="415">
        <f t="shared" si="7"/>
        <v>0</v>
      </c>
      <c r="Z19" s="415">
        <f t="shared" si="7"/>
        <v>0</v>
      </c>
      <c r="AA19" s="415">
        <f t="shared" si="7"/>
        <v>0</v>
      </c>
      <c r="AB19" s="415">
        <f t="shared" si="7"/>
        <v>0</v>
      </c>
      <c r="AC19" s="415">
        <f t="shared" si="7"/>
        <v>0</v>
      </c>
      <c r="AD19" s="415">
        <f t="shared" si="7"/>
        <v>0</v>
      </c>
      <c r="AE19" s="415">
        <f t="shared" si="7"/>
        <v>0</v>
      </c>
      <c r="AF19" s="416">
        <f t="shared" si="9"/>
        <v>0</v>
      </c>
      <c r="AG19" s="415">
        <f t="shared" ref="AG19:AG37" si="118">IF($F19=AG$6,($D19+$E19)/12,AE19*(1+AG$8))</f>
        <v>0</v>
      </c>
      <c r="AH19" s="415">
        <f t="shared" si="11"/>
        <v>0</v>
      </c>
      <c r="AI19" s="415">
        <f t="shared" si="11"/>
        <v>0</v>
      </c>
      <c r="AJ19" s="415">
        <f t="shared" si="11"/>
        <v>0</v>
      </c>
      <c r="AK19" s="415">
        <f t="shared" si="11"/>
        <v>0</v>
      </c>
      <c r="AL19" s="415">
        <f t="shared" si="11"/>
        <v>0</v>
      </c>
      <c r="AM19" s="415">
        <f t="shared" si="11"/>
        <v>20000</v>
      </c>
      <c r="AN19" s="415">
        <f t="shared" si="11"/>
        <v>20000</v>
      </c>
      <c r="AO19" s="415">
        <f t="shared" si="11"/>
        <v>20000</v>
      </c>
      <c r="AP19" s="415">
        <f t="shared" si="11"/>
        <v>20000</v>
      </c>
      <c r="AQ19" s="415">
        <f t="shared" si="11"/>
        <v>20000</v>
      </c>
      <c r="AR19" s="415">
        <f t="shared" si="11"/>
        <v>20000</v>
      </c>
      <c r="AS19" s="416">
        <f t="shared" si="12"/>
        <v>120000</v>
      </c>
      <c r="AT19" s="415">
        <f t="shared" ref="AT19:AT37" si="119">IF($F19=AT$6,($D19+$E19)/12,AR19*(1+AT$8))</f>
        <v>20800</v>
      </c>
      <c r="AU19" s="415">
        <f t="shared" si="14"/>
        <v>20800</v>
      </c>
      <c r="AV19" s="415">
        <f t="shared" si="14"/>
        <v>20800</v>
      </c>
      <c r="AW19" s="415">
        <f t="shared" si="14"/>
        <v>20800</v>
      </c>
      <c r="AX19" s="415">
        <f t="shared" si="14"/>
        <v>20800</v>
      </c>
      <c r="AY19" s="415">
        <f t="shared" si="14"/>
        <v>20800</v>
      </c>
      <c r="AZ19" s="415">
        <f t="shared" si="14"/>
        <v>20800</v>
      </c>
      <c r="BA19" s="415">
        <f t="shared" si="14"/>
        <v>20800</v>
      </c>
      <c r="BB19" s="415">
        <f t="shared" si="14"/>
        <v>20800</v>
      </c>
      <c r="BC19" s="415">
        <f t="shared" si="14"/>
        <v>20800</v>
      </c>
      <c r="BD19" s="415">
        <f t="shared" si="14"/>
        <v>20800</v>
      </c>
      <c r="BE19" s="415">
        <f t="shared" si="14"/>
        <v>20800</v>
      </c>
      <c r="BF19" s="416">
        <f t="shared" si="15"/>
        <v>249600</v>
      </c>
      <c r="BG19" s="415">
        <f t="shared" ref="BG19:BG37" si="120">IF($F19=BG$6,($D19+$E19)/12,BE19*(1+BG$8))</f>
        <v>21632</v>
      </c>
      <c r="BH19" s="415">
        <f t="shared" si="17"/>
        <v>21632</v>
      </c>
      <c r="BI19" s="415">
        <f t="shared" si="17"/>
        <v>21632</v>
      </c>
      <c r="BJ19" s="415">
        <f t="shared" si="17"/>
        <v>21632</v>
      </c>
      <c r="BK19" s="415">
        <f t="shared" si="17"/>
        <v>21632</v>
      </c>
      <c r="BL19" s="415">
        <f t="shared" si="17"/>
        <v>21632</v>
      </c>
      <c r="BM19" s="415">
        <f t="shared" si="17"/>
        <v>21632</v>
      </c>
      <c r="BN19" s="415">
        <f t="shared" si="17"/>
        <v>21632</v>
      </c>
      <c r="BO19" s="415">
        <f t="shared" si="17"/>
        <v>21632</v>
      </c>
      <c r="BP19" s="415">
        <f t="shared" si="17"/>
        <v>21632</v>
      </c>
      <c r="BQ19" s="415">
        <f t="shared" si="17"/>
        <v>21632</v>
      </c>
      <c r="BR19" s="415">
        <f t="shared" si="17"/>
        <v>21632</v>
      </c>
      <c r="BS19" s="416">
        <f t="shared" si="18"/>
        <v>259584</v>
      </c>
      <c r="BT19" s="415">
        <f t="shared" ref="BT19:BT37" si="121">IF($F19=BT$6,($D19+$E19)/12,BR19*(1+BT$8))</f>
        <v>22497.280000000002</v>
      </c>
      <c r="BU19" s="415">
        <f t="shared" si="20"/>
        <v>22497.280000000002</v>
      </c>
      <c r="BV19" s="415">
        <f t="shared" si="20"/>
        <v>22497.280000000002</v>
      </c>
      <c r="BW19" s="415">
        <f t="shared" si="20"/>
        <v>22497.280000000002</v>
      </c>
      <c r="BX19" s="415">
        <f t="shared" si="20"/>
        <v>22497.280000000002</v>
      </c>
      <c r="BY19" s="415">
        <f t="shared" si="20"/>
        <v>22497.280000000002</v>
      </c>
      <c r="BZ19" s="415">
        <f t="shared" si="20"/>
        <v>22497.280000000002</v>
      </c>
      <c r="CA19" s="415">
        <f t="shared" si="20"/>
        <v>22497.280000000002</v>
      </c>
      <c r="CB19" s="415">
        <f t="shared" si="20"/>
        <v>22497.280000000002</v>
      </c>
      <c r="CC19" s="415">
        <f t="shared" si="20"/>
        <v>22497.280000000002</v>
      </c>
      <c r="CD19" s="415">
        <f t="shared" si="20"/>
        <v>22497.280000000002</v>
      </c>
      <c r="CE19" s="415">
        <f t="shared" si="20"/>
        <v>22497.280000000002</v>
      </c>
      <c r="CF19" s="416">
        <f t="shared" si="21"/>
        <v>269967.36000000004</v>
      </c>
    </row>
    <row r="20" spans="1:84">
      <c r="A20" s="408" t="s">
        <v>591</v>
      </c>
      <c r="B20" s="412"/>
      <c r="C20" s="412"/>
      <c r="D20" s="413"/>
      <c r="E20" s="413"/>
      <c r="F20" s="414"/>
      <c r="G20" s="415"/>
      <c r="H20" s="415"/>
      <c r="I20" s="415"/>
      <c r="J20" s="415"/>
      <c r="K20" s="415"/>
      <c r="L20" s="415"/>
      <c r="M20" s="415"/>
      <c r="N20" s="415"/>
      <c r="O20" s="415"/>
      <c r="P20" s="415"/>
      <c r="Q20" s="415"/>
      <c r="R20" s="415"/>
      <c r="S20" s="416"/>
      <c r="T20" s="415"/>
      <c r="U20" s="415"/>
      <c r="V20" s="415"/>
      <c r="W20" s="415"/>
      <c r="X20" s="415"/>
      <c r="Y20" s="415"/>
      <c r="Z20" s="415"/>
      <c r="AA20" s="415"/>
      <c r="AB20" s="415"/>
      <c r="AC20" s="415"/>
      <c r="AD20" s="415"/>
      <c r="AE20" s="415"/>
      <c r="AF20" s="416"/>
      <c r="AG20" s="415"/>
      <c r="AH20" s="415"/>
      <c r="AI20" s="415"/>
      <c r="AJ20" s="415"/>
      <c r="AK20" s="415"/>
      <c r="AL20" s="415"/>
      <c r="AM20" s="415"/>
      <c r="AN20" s="415"/>
      <c r="AO20" s="415"/>
      <c r="AP20" s="415"/>
      <c r="AQ20" s="415"/>
      <c r="AR20" s="415"/>
      <c r="AS20" s="416"/>
      <c r="AT20" s="415"/>
      <c r="AU20" s="415"/>
      <c r="AV20" s="415"/>
      <c r="AW20" s="415"/>
      <c r="AX20" s="415"/>
      <c r="AY20" s="415"/>
      <c r="AZ20" s="415"/>
      <c r="BA20" s="415"/>
      <c r="BB20" s="415"/>
      <c r="BC20" s="415"/>
      <c r="BD20" s="415"/>
      <c r="BE20" s="415"/>
      <c r="BF20" s="416"/>
      <c r="BG20" s="415"/>
      <c r="BH20" s="415"/>
      <c r="BI20" s="415"/>
      <c r="BJ20" s="415"/>
      <c r="BK20" s="415"/>
      <c r="BL20" s="415"/>
      <c r="BM20" s="415"/>
      <c r="BN20" s="415"/>
      <c r="BO20" s="415"/>
      <c r="BP20" s="415"/>
      <c r="BQ20" s="415"/>
      <c r="BR20" s="415"/>
      <c r="BS20" s="416"/>
      <c r="BT20" s="415"/>
      <c r="BU20" s="415"/>
      <c r="BV20" s="415"/>
      <c r="BW20" s="415"/>
      <c r="BX20" s="415"/>
      <c r="BY20" s="415"/>
      <c r="BZ20" s="415"/>
      <c r="CA20" s="415"/>
      <c r="CB20" s="415"/>
      <c r="CC20" s="415"/>
      <c r="CD20" s="415"/>
      <c r="CE20" s="415"/>
      <c r="CF20" s="416"/>
    </row>
    <row r="21" spans="1:84">
      <c r="A21" s="399"/>
      <c r="B21" s="412" t="s">
        <v>137</v>
      </c>
      <c r="C21" s="412" t="s">
        <v>592</v>
      </c>
      <c r="D21" s="413">
        <v>100000</v>
      </c>
      <c r="E21" s="413"/>
      <c r="F21" s="414" t="s">
        <v>319</v>
      </c>
      <c r="G21" s="415">
        <f t="shared" si="105"/>
        <v>0</v>
      </c>
      <c r="H21" s="415">
        <f t="shared" si="4"/>
        <v>0</v>
      </c>
      <c r="I21" s="415">
        <f t="shared" si="4"/>
        <v>0</v>
      </c>
      <c r="J21" s="415">
        <f t="shared" si="4"/>
        <v>0</v>
      </c>
      <c r="K21" s="415">
        <f t="shared" si="4"/>
        <v>0</v>
      </c>
      <c r="L21" s="415">
        <f t="shared" si="4"/>
        <v>0</v>
      </c>
      <c r="M21" s="415">
        <f t="shared" si="4"/>
        <v>0</v>
      </c>
      <c r="N21" s="415">
        <f t="shared" si="4"/>
        <v>0</v>
      </c>
      <c r="O21" s="415">
        <f t="shared" si="4"/>
        <v>0</v>
      </c>
      <c r="P21" s="415">
        <f t="shared" si="4"/>
        <v>0</v>
      </c>
      <c r="Q21" s="415">
        <f t="shared" si="4"/>
        <v>0</v>
      </c>
      <c r="R21" s="415">
        <f t="shared" si="4"/>
        <v>0</v>
      </c>
      <c r="S21" s="416">
        <f t="shared" si="5"/>
        <v>0</v>
      </c>
      <c r="T21" s="415">
        <f t="shared" si="6"/>
        <v>0</v>
      </c>
      <c r="U21" s="415">
        <f t="shared" si="7"/>
        <v>0</v>
      </c>
      <c r="V21" s="415">
        <f t="shared" si="7"/>
        <v>0</v>
      </c>
      <c r="W21" s="415">
        <f t="shared" si="7"/>
        <v>0</v>
      </c>
      <c r="X21" s="415">
        <f t="shared" si="7"/>
        <v>0</v>
      </c>
      <c r="Y21" s="415">
        <f t="shared" si="7"/>
        <v>0</v>
      </c>
      <c r="Z21" s="415">
        <f t="shared" si="7"/>
        <v>0</v>
      </c>
      <c r="AA21" s="415">
        <f t="shared" si="7"/>
        <v>0</v>
      </c>
      <c r="AB21" s="415">
        <f t="shared" si="7"/>
        <v>0</v>
      </c>
      <c r="AC21" s="415">
        <f t="shared" si="7"/>
        <v>0</v>
      </c>
      <c r="AD21" s="415">
        <f t="shared" si="7"/>
        <v>0</v>
      </c>
      <c r="AE21" s="415">
        <f t="shared" si="7"/>
        <v>0</v>
      </c>
      <c r="AF21" s="416">
        <f t="shared" si="9"/>
        <v>0</v>
      </c>
      <c r="AG21" s="415">
        <f t="shared" si="118"/>
        <v>0</v>
      </c>
      <c r="AH21" s="415">
        <f t="shared" si="11"/>
        <v>0</v>
      </c>
      <c r="AI21" s="415">
        <f t="shared" si="11"/>
        <v>0</v>
      </c>
      <c r="AJ21" s="415">
        <f t="shared" si="11"/>
        <v>0</v>
      </c>
      <c r="AK21" s="415">
        <f t="shared" si="11"/>
        <v>0</v>
      </c>
      <c r="AL21" s="415">
        <f t="shared" si="11"/>
        <v>0</v>
      </c>
      <c r="AM21" s="415">
        <f t="shared" si="11"/>
        <v>0</v>
      </c>
      <c r="AN21" s="415">
        <f t="shared" si="11"/>
        <v>0</v>
      </c>
      <c r="AO21" s="415">
        <f t="shared" si="11"/>
        <v>0</v>
      </c>
      <c r="AP21" s="415">
        <f t="shared" si="11"/>
        <v>0</v>
      </c>
      <c r="AQ21" s="415">
        <f t="shared" si="11"/>
        <v>0</v>
      </c>
      <c r="AR21" s="415">
        <f t="shared" si="11"/>
        <v>0</v>
      </c>
      <c r="AS21" s="416">
        <f t="shared" si="12"/>
        <v>0</v>
      </c>
      <c r="AT21" s="415">
        <f t="shared" si="119"/>
        <v>8333.3333333333339</v>
      </c>
      <c r="AU21" s="415">
        <f t="shared" si="14"/>
        <v>8333.3333333333339</v>
      </c>
      <c r="AV21" s="415">
        <f t="shared" si="14"/>
        <v>8333.3333333333339</v>
      </c>
      <c r="AW21" s="415">
        <f t="shared" si="14"/>
        <v>8333.3333333333339</v>
      </c>
      <c r="AX21" s="415">
        <f t="shared" si="14"/>
        <v>8333.3333333333339</v>
      </c>
      <c r="AY21" s="415">
        <f t="shared" si="14"/>
        <v>8333.3333333333339</v>
      </c>
      <c r="AZ21" s="415">
        <f t="shared" si="14"/>
        <v>8333.3333333333339</v>
      </c>
      <c r="BA21" s="415">
        <f t="shared" si="14"/>
        <v>8333.3333333333339</v>
      </c>
      <c r="BB21" s="415">
        <f t="shared" si="14"/>
        <v>8333.3333333333339</v>
      </c>
      <c r="BC21" s="415">
        <f t="shared" si="14"/>
        <v>8333.3333333333339</v>
      </c>
      <c r="BD21" s="415">
        <f t="shared" si="14"/>
        <v>8333.3333333333339</v>
      </c>
      <c r="BE21" s="415">
        <f t="shared" si="14"/>
        <v>8333.3333333333339</v>
      </c>
      <c r="BF21" s="416">
        <f t="shared" si="15"/>
        <v>99999.999999999985</v>
      </c>
      <c r="BG21" s="415">
        <f t="shared" si="120"/>
        <v>8666.6666666666679</v>
      </c>
      <c r="BH21" s="415">
        <f t="shared" si="17"/>
        <v>8666.6666666666679</v>
      </c>
      <c r="BI21" s="415">
        <f t="shared" si="17"/>
        <v>8666.6666666666679</v>
      </c>
      <c r="BJ21" s="415">
        <f t="shared" si="17"/>
        <v>8666.6666666666679</v>
      </c>
      <c r="BK21" s="415">
        <f t="shared" si="17"/>
        <v>8666.6666666666679</v>
      </c>
      <c r="BL21" s="415">
        <f t="shared" si="17"/>
        <v>8666.6666666666679</v>
      </c>
      <c r="BM21" s="415">
        <f t="shared" si="17"/>
        <v>8666.6666666666679</v>
      </c>
      <c r="BN21" s="415">
        <f t="shared" si="17"/>
        <v>8666.6666666666679</v>
      </c>
      <c r="BO21" s="415">
        <f t="shared" si="17"/>
        <v>8666.6666666666679</v>
      </c>
      <c r="BP21" s="415">
        <f t="shared" si="17"/>
        <v>8666.6666666666679</v>
      </c>
      <c r="BQ21" s="415">
        <f t="shared" si="17"/>
        <v>8666.6666666666679</v>
      </c>
      <c r="BR21" s="415">
        <f t="shared" si="17"/>
        <v>8666.6666666666679</v>
      </c>
      <c r="BS21" s="416">
        <f t="shared" si="18"/>
        <v>104000.00000000004</v>
      </c>
      <c r="BT21" s="415">
        <f t="shared" si="121"/>
        <v>9013.3333333333358</v>
      </c>
      <c r="BU21" s="415">
        <f t="shared" si="20"/>
        <v>9013.3333333333358</v>
      </c>
      <c r="BV21" s="415">
        <f t="shared" si="20"/>
        <v>9013.3333333333358</v>
      </c>
      <c r="BW21" s="415">
        <f t="shared" si="20"/>
        <v>9013.3333333333358</v>
      </c>
      <c r="BX21" s="415">
        <f t="shared" si="20"/>
        <v>9013.3333333333358</v>
      </c>
      <c r="BY21" s="415">
        <f t="shared" si="20"/>
        <v>9013.3333333333358</v>
      </c>
      <c r="BZ21" s="415">
        <f t="shared" si="20"/>
        <v>9013.3333333333358</v>
      </c>
      <c r="CA21" s="415">
        <f t="shared" si="20"/>
        <v>9013.3333333333358</v>
      </c>
      <c r="CB21" s="415">
        <f t="shared" si="20"/>
        <v>9013.3333333333358</v>
      </c>
      <c r="CC21" s="415">
        <f t="shared" si="20"/>
        <v>9013.3333333333358</v>
      </c>
      <c r="CD21" s="415">
        <f t="shared" si="20"/>
        <v>9013.3333333333358</v>
      </c>
      <c r="CE21" s="415">
        <f t="shared" si="20"/>
        <v>9013.3333333333358</v>
      </c>
      <c r="CF21" s="416">
        <f t="shared" si="21"/>
        <v>108160.00000000006</v>
      </c>
    </row>
    <row r="22" spans="1:84">
      <c r="A22" s="399"/>
      <c r="B22" s="412" t="s">
        <v>137</v>
      </c>
      <c r="C22" s="412" t="s">
        <v>593</v>
      </c>
      <c r="D22" s="413">
        <v>80000</v>
      </c>
      <c r="E22" s="413"/>
      <c r="F22" s="414" t="s">
        <v>319</v>
      </c>
      <c r="G22" s="415">
        <f t="shared" si="105"/>
        <v>0</v>
      </c>
      <c r="H22" s="415">
        <f t="shared" si="4"/>
        <v>0</v>
      </c>
      <c r="I22" s="415">
        <f t="shared" si="4"/>
        <v>0</v>
      </c>
      <c r="J22" s="415">
        <f t="shared" si="4"/>
        <v>0</v>
      </c>
      <c r="K22" s="415">
        <f t="shared" si="4"/>
        <v>0</v>
      </c>
      <c r="L22" s="415">
        <f t="shared" si="4"/>
        <v>0</v>
      </c>
      <c r="M22" s="415">
        <f t="shared" si="4"/>
        <v>0</v>
      </c>
      <c r="N22" s="415">
        <f t="shared" si="4"/>
        <v>0</v>
      </c>
      <c r="O22" s="415">
        <f t="shared" si="4"/>
        <v>0</v>
      </c>
      <c r="P22" s="415">
        <f t="shared" si="4"/>
        <v>0</v>
      </c>
      <c r="Q22" s="415">
        <f t="shared" si="4"/>
        <v>0</v>
      </c>
      <c r="R22" s="415">
        <f t="shared" si="4"/>
        <v>0</v>
      </c>
      <c r="S22" s="416">
        <f t="shared" si="5"/>
        <v>0</v>
      </c>
      <c r="T22" s="415">
        <f t="shared" si="6"/>
        <v>0</v>
      </c>
      <c r="U22" s="415">
        <f t="shared" si="7"/>
        <v>0</v>
      </c>
      <c r="V22" s="415">
        <f t="shared" si="7"/>
        <v>0</v>
      </c>
      <c r="W22" s="415">
        <f t="shared" si="7"/>
        <v>0</v>
      </c>
      <c r="X22" s="415">
        <f t="shared" si="7"/>
        <v>0</v>
      </c>
      <c r="Y22" s="415">
        <f t="shared" si="7"/>
        <v>0</v>
      </c>
      <c r="Z22" s="415">
        <f t="shared" si="7"/>
        <v>0</v>
      </c>
      <c r="AA22" s="415">
        <f t="shared" si="7"/>
        <v>0</v>
      </c>
      <c r="AB22" s="415">
        <f t="shared" si="7"/>
        <v>0</v>
      </c>
      <c r="AC22" s="415">
        <f t="shared" si="7"/>
        <v>0</v>
      </c>
      <c r="AD22" s="415">
        <f t="shared" si="7"/>
        <v>0</v>
      </c>
      <c r="AE22" s="415">
        <f t="shared" si="7"/>
        <v>0</v>
      </c>
      <c r="AF22" s="416">
        <f t="shared" si="9"/>
        <v>0</v>
      </c>
      <c r="AG22" s="415">
        <f t="shared" si="118"/>
        <v>0</v>
      </c>
      <c r="AH22" s="415">
        <f t="shared" si="11"/>
        <v>0</v>
      </c>
      <c r="AI22" s="415">
        <f t="shared" si="11"/>
        <v>0</v>
      </c>
      <c r="AJ22" s="415">
        <f t="shared" si="11"/>
        <v>0</v>
      </c>
      <c r="AK22" s="415">
        <f t="shared" si="11"/>
        <v>0</v>
      </c>
      <c r="AL22" s="415">
        <f t="shared" si="11"/>
        <v>0</v>
      </c>
      <c r="AM22" s="415">
        <f t="shared" si="11"/>
        <v>0</v>
      </c>
      <c r="AN22" s="415">
        <f t="shared" si="11"/>
        <v>0</v>
      </c>
      <c r="AO22" s="415">
        <f t="shared" si="11"/>
        <v>0</v>
      </c>
      <c r="AP22" s="415">
        <f t="shared" si="11"/>
        <v>0</v>
      </c>
      <c r="AQ22" s="415">
        <f t="shared" si="11"/>
        <v>0</v>
      </c>
      <c r="AR22" s="415">
        <f t="shared" si="11"/>
        <v>0</v>
      </c>
      <c r="AS22" s="416">
        <f t="shared" si="12"/>
        <v>0</v>
      </c>
      <c r="AT22" s="415">
        <f t="shared" si="119"/>
        <v>6666.666666666667</v>
      </c>
      <c r="AU22" s="415">
        <f t="shared" si="14"/>
        <v>6666.666666666667</v>
      </c>
      <c r="AV22" s="415">
        <f t="shared" si="14"/>
        <v>6666.666666666667</v>
      </c>
      <c r="AW22" s="415">
        <f t="shared" si="14"/>
        <v>6666.666666666667</v>
      </c>
      <c r="AX22" s="415">
        <f t="shared" si="14"/>
        <v>6666.666666666667</v>
      </c>
      <c r="AY22" s="415">
        <f t="shared" si="14"/>
        <v>6666.666666666667</v>
      </c>
      <c r="AZ22" s="415">
        <f t="shared" si="14"/>
        <v>6666.666666666667</v>
      </c>
      <c r="BA22" s="415">
        <f t="shared" si="14"/>
        <v>6666.666666666667</v>
      </c>
      <c r="BB22" s="415">
        <f t="shared" si="14"/>
        <v>6666.666666666667</v>
      </c>
      <c r="BC22" s="415">
        <f t="shared" si="14"/>
        <v>6666.666666666667</v>
      </c>
      <c r="BD22" s="415">
        <f t="shared" si="14"/>
        <v>6666.666666666667</v>
      </c>
      <c r="BE22" s="415">
        <f t="shared" si="14"/>
        <v>6666.666666666667</v>
      </c>
      <c r="BF22" s="416">
        <f t="shared" si="15"/>
        <v>80000</v>
      </c>
      <c r="BG22" s="415">
        <f t="shared" si="120"/>
        <v>6933.3333333333339</v>
      </c>
      <c r="BH22" s="415">
        <f t="shared" si="17"/>
        <v>6933.3333333333339</v>
      </c>
      <c r="BI22" s="415">
        <f t="shared" si="17"/>
        <v>6933.3333333333339</v>
      </c>
      <c r="BJ22" s="415">
        <f t="shared" si="17"/>
        <v>6933.3333333333339</v>
      </c>
      <c r="BK22" s="415">
        <f t="shared" si="17"/>
        <v>6933.3333333333339</v>
      </c>
      <c r="BL22" s="415">
        <f t="shared" si="17"/>
        <v>6933.3333333333339</v>
      </c>
      <c r="BM22" s="415">
        <f t="shared" si="17"/>
        <v>6933.3333333333339</v>
      </c>
      <c r="BN22" s="415">
        <f t="shared" si="17"/>
        <v>6933.3333333333339</v>
      </c>
      <c r="BO22" s="415">
        <f t="shared" si="17"/>
        <v>6933.3333333333339</v>
      </c>
      <c r="BP22" s="415">
        <f t="shared" si="17"/>
        <v>6933.3333333333339</v>
      </c>
      <c r="BQ22" s="415">
        <f t="shared" si="17"/>
        <v>6933.3333333333339</v>
      </c>
      <c r="BR22" s="415">
        <f t="shared" si="17"/>
        <v>6933.3333333333339</v>
      </c>
      <c r="BS22" s="416">
        <f t="shared" si="18"/>
        <v>83200</v>
      </c>
      <c r="BT22" s="415">
        <f t="shared" si="121"/>
        <v>7210.6666666666679</v>
      </c>
      <c r="BU22" s="415">
        <f t="shared" si="20"/>
        <v>7210.6666666666679</v>
      </c>
      <c r="BV22" s="415">
        <f t="shared" si="20"/>
        <v>7210.6666666666679</v>
      </c>
      <c r="BW22" s="415">
        <f t="shared" si="20"/>
        <v>7210.6666666666679</v>
      </c>
      <c r="BX22" s="415">
        <f t="shared" si="20"/>
        <v>7210.6666666666679</v>
      </c>
      <c r="BY22" s="415">
        <f t="shared" si="20"/>
        <v>7210.6666666666679</v>
      </c>
      <c r="BZ22" s="415">
        <f t="shared" si="20"/>
        <v>7210.6666666666679</v>
      </c>
      <c r="CA22" s="415">
        <f t="shared" si="20"/>
        <v>7210.6666666666679</v>
      </c>
      <c r="CB22" s="415">
        <f t="shared" si="20"/>
        <v>7210.6666666666679</v>
      </c>
      <c r="CC22" s="415">
        <f t="shared" si="20"/>
        <v>7210.6666666666679</v>
      </c>
      <c r="CD22" s="415">
        <f t="shared" si="20"/>
        <v>7210.6666666666679</v>
      </c>
      <c r="CE22" s="415">
        <f t="shared" si="20"/>
        <v>7210.6666666666679</v>
      </c>
      <c r="CF22" s="416">
        <f t="shared" si="21"/>
        <v>86528.000000000044</v>
      </c>
    </row>
    <row r="23" spans="1:84">
      <c r="A23" s="399"/>
      <c r="B23" s="412" t="s">
        <v>137</v>
      </c>
      <c r="C23" s="412" t="s">
        <v>594</v>
      </c>
      <c r="D23" s="413">
        <v>75000</v>
      </c>
      <c r="E23" s="413"/>
      <c r="F23" s="414" t="s">
        <v>312</v>
      </c>
      <c r="G23" s="415">
        <f t="shared" si="105"/>
        <v>0</v>
      </c>
      <c r="H23" s="415">
        <f t="shared" si="4"/>
        <v>0</v>
      </c>
      <c r="I23" s="415">
        <f t="shared" si="4"/>
        <v>0</v>
      </c>
      <c r="J23" s="415">
        <f t="shared" si="4"/>
        <v>0</v>
      </c>
      <c r="K23" s="415">
        <f t="shared" si="4"/>
        <v>0</v>
      </c>
      <c r="L23" s="415">
        <f t="shared" si="4"/>
        <v>0</v>
      </c>
      <c r="M23" s="415">
        <f t="shared" si="4"/>
        <v>0</v>
      </c>
      <c r="N23" s="415">
        <f t="shared" si="4"/>
        <v>0</v>
      </c>
      <c r="O23" s="415">
        <f t="shared" si="4"/>
        <v>0</v>
      </c>
      <c r="P23" s="415">
        <f t="shared" si="4"/>
        <v>0</v>
      </c>
      <c r="Q23" s="415">
        <f t="shared" si="4"/>
        <v>0</v>
      </c>
      <c r="R23" s="415">
        <f t="shared" si="4"/>
        <v>0</v>
      </c>
      <c r="S23" s="416">
        <f t="shared" si="5"/>
        <v>0</v>
      </c>
      <c r="T23" s="415">
        <f t="shared" si="6"/>
        <v>0</v>
      </c>
      <c r="U23" s="415">
        <f t="shared" si="7"/>
        <v>0</v>
      </c>
      <c r="V23" s="415">
        <f t="shared" si="7"/>
        <v>0</v>
      </c>
      <c r="W23" s="415">
        <f t="shared" si="7"/>
        <v>0</v>
      </c>
      <c r="X23" s="415">
        <f t="shared" si="7"/>
        <v>0</v>
      </c>
      <c r="Y23" s="415">
        <f t="shared" si="7"/>
        <v>0</v>
      </c>
      <c r="Z23" s="415">
        <f t="shared" si="7"/>
        <v>0</v>
      </c>
      <c r="AA23" s="415">
        <f t="shared" si="7"/>
        <v>0</v>
      </c>
      <c r="AB23" s="415">
        <f t="shared" si="7"/>
        <v>0</v>
      </c>
      <c r="AC23" s="415">
        <f t="shared" si="7"/>
        <v>0</v>
      </c>
      <c r="AD23" s="415">
        <f t="shared" si="7"/>
        <v>0</v>
      </c>
      <c r="AE23" s="415">
        <f t="shared" si="7"/>
        <v>0</v>
      </c>
      <c r="AF23" s="416">
        <f t="shared" si="9"/>
        <v>0</v>
      </c>
      <c r="AG23" s="415">
        <f t="shared" si="118"/>
        <v>0</v>
      </c>
      <c r="AH23" s="415">
        <f t="shared" si="11"/>
        <v>0</v>
      </c>
      <c r="AI23" s="415">
        <f t="shared" si="11"/>
        <v>0</v>
      </c>
      <c r="AJ23" s="415">
        <f t="shared" si="11"/>
        <v>0</v>
      </c>
      <c r="AK23" s="415">
        <f t="shared" si="11"/>
        <v>0</v>
      </c>
      <c r="AL23" s="415">
        <f t="shared" si="11"/>
        <v>6250</v>
      </c>
      <c r="AM23" s="415">
        <f t="shared" si="11"/>
        <v>6250</v>
      </c>
      <c r="AN23" s="415">
        <f t="shared" si="11"/>
        <v>6250</v>
      </c>
      <c r="AO23" s="415">
        <f t="shared" si="11"/>
        <v>6250</v>
      </c>
      <c r="AP23" s="415">
        <f t="shared" si="11"/>
        <v>6250</v>
      </c>
      <c r="AQ23" s="415">
        <f t="shared" si="11"/>
        <v>6250</v>
      </c>
      <c r="AR23" s="415">
        <f t="shared" si="11"/>
        <v>6250</v>
      </c>
      <c r="AS23" s="416">
        <f t="shared" si="12"/>
        <v>43750</v>
      </c>
      <c r="AT23" s="415">
        <f t="shared" si="119"/>
        <v>6500</v>
      </c>
      <c r="AU23" s="415">
        <f t="shared" si="14"/>
        <v>6500</v>
      </c>
      <c r="AV23" s="415">
        <f t="shared" si="14"/>
        <v>6500</v>
      </c>
      <c r="AW23" s="415">
        <f t="shared" si="14"/>
        <v>6500</v>
      </c>
      <c r="AX23" s="415">
        <f t="shared" si="14"/>
        <v>6500</v>
      </c>
      <c r="AY23" s="415">
        <f t="shared" si="14"/>
        <v>6500</v>
      </c>
      <c r="AZ23" s="415">
        <f t="shared" si="14"/>
        <v>6500</v>
      </c>
      <c r="BA23" s="415">
        <f t="shared" si="14"/>
        <v>6500</v>
      </c>
      <c r="BB23" s="415">
        <f t="shared" si="14"/>
        <v>6500</v>
      </c>
      <c r="BC23" s="415">
        <f t="shared" si="14"/>
        <v>6500</v>
      </c>
      <c r="BD23" s="415">
        <f t="shared" si="14"/>
        <v>6500</v>
      </c>
      <c r="BE23" s="415">
        <f t="shared" si="14"/>
        <v>6500</v>
      </c>
      <c r="BF23" s="416">
        <f t="shared" si="15"/>
        <v>78000</v>
      </c>
      <c r="BG23" s="415">
        <f t="shared" si="120"/>
        <v>6760</v>
      </c>
      <c r="BH23" s="415">
        <f t="shared" si="17"/>
        <v>6760</v>
      </c>
      <c r="BI23" s="415">
        <f t="shared" si="17"/>
        <v>6760</v>
      </c>
      <c r="BJ23" s="415">
        <f t="shared" si="17"/>
        <v>6760</v>
      </c>
      <c r="BK23" s="415">
        <f t="shared" si="17"/>
        <v>6760</v>
      </c>
      <c r="BL23" s="415">
        <f t="shared" si="17"/>
        <v>6760</v>
      </c>
      <c r="BM23" s="415">
        <f t="shared" si="17"/>
        <v>6760</v>
      </c>
      <c r="BN23" s="415">
        <f t="shared" si="17"/>
        <v>6760</v>
      </c>
      <c r="BO23" s="415">
        <f t="shared" si="17"/>
        <v>6760</v>
      </c>
      <c r="BP23" s="415">
        <f t="shared" si="17"/>
        <v>6760</v>
      </c>
      <c r="BQ23" s="415">
        <f t="shared" si="17"/>
        <v>6760</v>
      </c>
      <c r="BR23" s="415">
        <f t="shared" si="17"/>
        <v>6760</v>
      </c>
      <c r="BS23" s="416">
        <f t="shared" si="18"/>
        <v>81120</v>
      </c>
      <c r="BT23" s="415">
        <f t="shared" si="121"/>
        <v>7030.4000000000005</v>
      </c>
      <c r="BU23" s="415">
        <f t="shared" si="20"/>
        <v>7030.4000000000005</v>
      </c>
      <c r="BV23" s="415">
        <f t="shared" si="20"/>
        <v>7030.4000000000005</v>
      </c>
      <c r="BW23" s="415">
        <f t="shared" si="20"/>
        <v>7030.4000000000005</v>
      </c>
      <c r="BX23" s="415">
        <f t="shared" si="20"/>
        <v>7030.4000000000005</v>
      </c>
      <c r="BY23" s="415">
        <f t="shared" si="20"/>
        <v>7030.4000000000005</v>
      </c>
      <c r="BZ23" s="415">
        <f t="shared" si="20"/>
        <v>7030.4000000000005</v>
      </c>
      <c r="CA23" s="415">
        <f t="shared" si="20"/>
        <v>7030.4000000000005</v>
      </c>
      <c r="CB23" s="415">
        <f t="shared" si="20"/>
        <v>7030.4000000000005</v>
      </c>
      <c r="CC23" s="415">
        <f t="shared" si="20"/>
        <v>7030.4000000000005</v>
      </c>
      <c r="CD23" s="415">
        <f t="shared" si="20"/>
        <v>7030.4000000000005</v>
      </c>
      <c r="CE23" s="415">
        <f t="shared" si="20"/>
        <v>7030.4000000000005</v>
      </c>
      <c r="CF23" s="416">
        <f t="shared" si="21"/>
        <v>84364.799999999988</v>
      </c>
    </row>
    <row r="24" spans="1:84">
      <c r="A24" s="399"/>
      <c r="B24" s="412" t="s">
        <v>137</v>
      </c>
      <c r="C24" s="412" t="s">
        <v>595</v>
      </c>
      <c r="D24" s="413">
        <v>60000</v>
      </c>
      <c r="E24" s="413"/>
      <c r="F24" s="414" t="s">
        <v>312</v>
      </c>
      <c r="G24" s="415">
        <f t="shared" si="105"/>
        <v>0</v>
      </c>
      <c r="H24" s="415">
        <f t="shared" si="4"/>
        <v>0</v>
      </c>
      <c r="I24" s="415">
        <f t="shared" si="4"/>
        <v>0</v>
      </c>
      <c r="J24" s="415">
        <f t="shared" si="4"/>
        <v>0</v>
      </c>
      <c r="K24" s="415">
        <f t="shared" si="4"/>
        <v>0</v>
      </c>
      <c r="L24" s="415">
        <f t="shared" si="4"/>
        <v>0</v>
      </c>
      <c r="M24" s="415">
        <f t="shared" si="4"/>
        <v>0</v>
      </c>
      <c r="N24" s="415">
        <f t="shared" si="4"/>
        <v>0</v>
      </c>
      <c r="O24" s="415">
        <f t="shared" si="4"/>
        <v>0</v>
      </c>
      <c r="P24" s="415">
        <f t="shared" si="4"/>
        <v>0</v>
      </c>
      <c r="Q24" s="415">
        <f t="shared" si="4"/>
        <v>0</v>
      </c>
      <c r="R24" s="415">
        <f t="shared" si="4"/>
        <v>0</v>
      </c>
      <c r="S24" s="416">
        <f t="shared" si="5"/>
        <v>0</v>
      </c>
      <c r="T24" s="415">
        <f t="shared" si="6"/>
        <v>0</v>
      </c>
      <c r="U24" s="415">
        <f t="shared" si="7"/>
        <v>0</v>
      </c>
      <c r="V24" s="415">
        <f t="shared" si="7"/>
        <v>0</v>
      </c>
      <c r="W24" s="415">
        <f t="shared" si="7"/>
        <v>0</v>
      </c>
      <c r="X24" s="415">
        <f t="shared" si="7"/>
        <v>0</v>
      </c>
      <c r="Y24" s="415">
        <f t="shared" si="7"/>
        <v>0</v>
      </c>
      <c r="Z24" s="415">
        <f t="shared" si="7"/>
        <v>0</v>
      </c>
      <c r="AA24" s="415">
        <f t="shared" si="7"/>
        <v>0</v>
      </c>
      <c r="AB24" s="415">
        <f t="shared" si="7"/>
        <v>0</v>
      </c>
      <c r="AC24" s="415">
        <f t="shared" si="7"/>
        <v>0</v>
      </c>
      <c r="AD24" s="415">
        <f t="shared" si="7"/>
        <v>0</v>
      </c>
      <c r="AE24" s="415">
        <f t="shared" si="7"/>
        <v>0</v>
      </c>
      <c r="AF24" s="416">
        <f t="shared" si="9"/>
        <v>0</v>
      </c>
      <c r="AG24" s="415">
        <f t="shared" si="118"/>
        <v>0</v>
      </c>
      <c r="AH24" s="415">
        <f t="shared" si="11"/>
        <v>0</v>
      </c>
      <c r="AI24" s="415">
        <f t="shared" si="11"/>
        <v>0</v>
      </c>
      <c r="AJ24" s="415">
        <f t="shared" si="11"/>
        <v>0</v>
      </c>
      <c r="AK24" s="415">
        <f t="shared" si="11"/>
        <v>0</v>
      </c>
      <c r="AL24" s="415">
        <f t="shared" si="11"/>
        <v>5000</v>
      </c>
      <c r="AM24" s="415">
        <f t="shared" si="11"/>
        <v>5000</v>
      </c>
      <c r="AN24" s="415">
        <f t="shared" si="11"/>
        <v>5000</v>
      </c>
      <c r="AO24" s="415">
        <f t="shared" si="11"/>
        <v>5000</v>
      </c>
      <c r="AP24" s="415">
        <f t="shared" si="11"/>
        <v>5000</v>
      </c>
      <c r="AQ24" s="415">
        <f t="shared" si="11"/>
        <v>5000</v>
      </c>
      <c r="AR24" s="415">
        <f t="shared" si="11"/>
        <v>5000</v>
      </c>
      <c r="AS24" s="416">
        <f t="shared" si="12"/>
        <v>35000</v>
      </c>
      <c r="AT24" s="415">
        <f t="shared" si="119"/>
        <v>5200</v>
      </c>
      <c r="AU24" s="415">
        <f t="shared" si="14"/>
        <v>5200</v>
      </c>
      <c r="AV24" s="415">
        <f t="shared" si="14"/>
        <v>5200</v>
      </c>
      <c r="AW24" s="415">
        <f t="shared" si="14"/>
        <v>5200</v>
      </c>
      <c r="AX24" s="415">
        <f t="shared" si="14"/>
        <v>5200</v>
      </c>
      <c r="AY24" s="415">
        <f t="shared" si="14"/>
        <v>5200</v>
      </c>
      <c r="AZ24" s="415">
        <f t="shared" si="14"/>
        <v>5200</v>
      </c>
      <c r="BA24" s="415">
        <f t="shared" si="14"/>
        <v>5200</v>
      </c>
      <c r="BB24" s="415">
        <f t="shared" si="14"/>
        <v>5200</v>
      </c>
      <c r="BC24" s="415">
        <f t="shared" si="14"/>
        <v>5200</v>
      </c>
      <c r="BD24" s="415">
        <f t="shared" si="14"/>
        <v>5200</v>
      </c>
      <c r="BE24" s="415">
        <f t="shared" si="14"/>
        <v>5200</v>
      </c>
      <c r="BF24" s="416">
        <f t="shared" si="15"/>
        <v>62400</v>
      </c>
      <c r="BG24" s="415">
        <f t="shared" si="120"/>
        <v>5408</v>
      </c>
      <c r="BH24" s="415">
        <f t="shared" si="17"/>
        <v>5408</v>
      </c>
      <c r="BI24" s="415">
        <f t="shared" si="17"/>
        <v>5408</v>
      </c>
      <c r="BJ24" s="415">
        <f t="shared" si="17"/>
        <v>5408</v>
      </c>
      <c r="BK24" s="415">
        <f t="shared" si="17"/>
        <v>5408</v>
      </c>
      <c r="BL24" s="415">
        <f t="shared" si="17"/>
        <v>5408</v>
      </c>
      <c r="BM24" s="415">
        <f t="shared" si="17"/>
        <v>5408</v>
      </c>
      <c r="BN24" s="415">
        <f t="shared" si="17"/>
        <v>5408</v>
      </c>
      <c r="BO24" s="415">
        <f t="shared" si="17"/>
        <v>5408</v>
      </c>
      <c r="BP24" s="415">
        <f t="shared" si="17"/>
        <v>5408</v>
      </c>
      <c r="BQ24" s="415">
        <f t="shared" si="17"/>
        <v>5408</v>
      </c>
      <c r="BR24" s="415">
        <f t="shared" si="17"/>
        <v>5408</v>
      </c>
      <c r="BS24" s="416">
        <f t="shared" si="18"/>
        <v>64896</v>
      </c>
      <c r="BT24" s="415">
        <f t="shared" si="121"/>
        <v>5624.3200000000006</v>
      </c>
      <c r="BU24" s="415">
        <f t="shared" si="20"/>
        <v>5624.3200000000006</v>
      </c>
      <c r="BV24" s="415">
        <f t="shared" si="20"/>
        <v>5624.3200000000006</v>
      </c>
      <c r="BW24" s="415">
        <f t="shared" si="20"/>
        <v>5624.3200000000006</v>
      </c>
      <c r="BX24" s="415">
        <f t="shared" si="20"/>
        <v>5624.3200000000006</v>
      </c>
      <c r="BY24" s="415">
        <f t="shared" si="20"/>
        <v>5624.3200000000006</v>
      </c>
      <c r="BZ24" s="415">
        <f t="shared" si="20"/>
        <v>5624.3200000000006</v>
      </c>
      <c r="CA24" s="415">
        <f t="shared" si="20"/>
        <v>5624.3200000000006</v>
      </c>
      <c r="CB24" s="415">
        <f t="shared" si="20"/>
        <v>5624.3200000000006</v>
      </c>
      <c r="CC24" s="415">
        <f t="shared" si="20"/>
        <v>5624.3200000000006</v>
      </c>
      <c r="CD24" s="415">
        <f t="shared" si="20"/>
        <v>5624.3200000000006</v>
      </c>
      <c r="CE24" s="415">
        <f t="shared" si="20"/>
        <v>5624.3200000000006</v>
      </c>
      <c r="CF24" s="416">
        <f t="shared" si="21"/>
        <v>67491.840000000011</v>
      </c>
    </row>
    <row r="25" spans="1:84">
      <c r="A25" s="408" t="s">
        <v>596</v>
      </c>
      <c r="B25" s="412"/>
      <c r="C25" s="412"/>
      <c r="D25" s="413"/>
      <c r="E25" s="413"/>
      <c r="F25" s="414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15"/>
      <c r="R25" s="415"/>
      <c r="S25" s="416"/>
      <c r="T25" s="415"/>
      <c r="U25" s="415"/>
      <c r="V25" s="415"/>
      <c r="W25" s="415"/>
      <c r="X25" s="415"/>
      <c r="Y25" s="415"/>
      <c r="Z25" s="415"/>
      <c r="AA25" s="415"/>
      <c r="AB25" s="415"/>
      <c r="AC25" s="415"/>
      <c r="AD25" s="415"/>
      <c r="AE25" s="415"/>
      <c r="AF25" s="416"/>
      <c r="AG25" s="415"/>
      <c r="AH25" s="415"/>
      <c r="AI25" s="415"/>
      <c r="AJ25" s="415"/>
      <c r="AK25" s="415"/>
      <c r="AL25" s="415"/>
      <c r="AM25" s="415"/>
      <c r="AN25" s="415"/>
      <c r="AO25" s="415"/>
      <c r="AP25" s="415"/>
      <c r="AQ25" s="415"/>
      <c r="AR25" s="415"/>
      <c r="AS25" s="416"/>
      <c r="AT25" s="415"/>
      <c r="AU25" s="415"/>
      <c r="AV25" s="415"/>
      <c r="AW25" s="415"/>
      <c r="AX25" s="415"/>
      <c r="AY25" s="415"/>
      <c r="AZ25" s="415"/>
      <c r="BA25" s="415"/>
      <c r="BB25" s="415"/>
      <c r="BC25" s="415"/>
      <c r="BD25" s="415"/>
      <c r="BE25" s="415"/>
      <c r="BF25" s="416"/>
      <c r="BG25" s="415"/>
      <c r="BH25" s="415"/>
      <c r="BI25" s="415"/>
      <c r="BJ25" s="415"/>
      <c r="BK25" s="415"/>
      <c r="BL25" s="415"/>
      <c r="BM25" s="415"/>
      <c r="BN25" s="415"/>
      <c r="BO25" s="415"/>
      <c r="BP25" s="415"/>
      <c r="BQ25" s="415"/>
      <c r="BR25" s="415"/>
      <c r="BS25" s="416"/>
      <c r="BT25" s="415"/>
      <c r="BU25" s="415"/>
      <c r="BV25" s="415"/>
      <c r="BW25" s="415"/>
      <c r="BX25" s="415"/>
      <c r="BY25" s="415"/>
      <c r="BZ25" s="415"/>
      <c r="CA25" s="415"/>
      <c r="CB25" s="415"/>
      <c r="CC25" s="415"/>
      <c r="CD25" s="415"/>
      <c r="CE25" s="415"/>
      <c r="CF25" s="416"/>
    </row>
    <row r="26" spans="1:84">
      <c r="A26" s="399"/>
      <c r="B26" s="479" t="s">
        <v>898</v>
      </c>
      <c r="C26" s="412" t="s">
        <v>590</v>
      </c>
      <c r="D26" s="413">
        <v>200000</v>
      </c>
      <c r="E26" s="413"/>
      <c r="F26" s="414" t="s">
        <v>51</v>
      </c>
      <c r="G26" s="415">
        <f t="shared" si="105"/>
        <v>0</v>
      </c>
      <c r="H26" s="415">
        <f t="shared" si="4"/>
        <v>0</v>
      </c>
      <c r="I26" s="415">
        <f t="shared" si="4"/>
        <v>0</v>
      </c>
      <c r="J26" s="415">
        <f t="shared" si="4"/>
        <v>0</v>
      </c>
      <c r="K26" s="415">
        <f t="shared" si="4"/>
        <v>0</v>
      </c>
      <c r="L26" s="415">
        <f t="shared" si="4"/>
        <v>0</v>
      </c>
      <c r="M26" s="415">
        <f t="shared" si="4"/>
        <v>0</v>
      </c>
      <c r="N26" s="415">
        <f t="shared" si="4"/>
        <v>0</v>
      </c>
      <c r="O26" s="415">
        <f t="shared" si="4"/>
        <v>0</v>
      </c>
      <c r="P26" s="415">
        <f t="shared" si="4"/>
        <v>0</v>
      </c>
      <c r="Q26" s="415">
        <f t="shared" si="4"/>
        <v>0</v>
      </c>
      <c r="R26" s="415">
        <f t="shared" si="4"/>
        <v>0</v>
      </c>
      <c r="S26" s="416">
        <f t="shared" si="5"/>
        <v>0</v>
      </c>
      <c r="T26" s="415">
        <f t="shared" si="6"/>
        <v>0</v>
      </c>
      <c r="U26" s="415">
        <f t="shared" si="7"/>
        <v>0</v>
      </c>
      <c r="V26" s="415">
        <f t="shared" si="7"/>
        <v>16666.666666666668</v>
      </c>
      <c r="W26" s="415">
        <f t="shared" si="7"/>
        <v>16666.666666666668</v>
      </c>
      <c r="X26" s="415">
        <f t="shared" si="7"/>
        <v>16666.666666666668</v>
      </c>
      <c r="Y26" s="415">
        <f t="shared" si="7"/>
        <v>16666.666666666668</v>
      </c>
      <c r="Z26" s="415">
        <f t="shared" si="7"/>
        <v>16666.666666666668</v>
      </c>
      <c r="AA26" s="415">
        <f t="shared" si="7"/>
        <v>16666.666666666668</v>
      </c>
      <c r="AB26" s="415">
        <f t="shared" si="7"/>
        <v>16666.666666666668</v>
      </c>
      <c r="AC26" s="415">
        <f t="shared" si="7"/>
        <v>16666.666666666668</v>
      </c>
      <c r="AD26" s="415">
        <f t="shared" si="7"/>
        <v>16666.666666666668</v>
      </c>
      <c r="AE26" s="415">
        <f t="shared" si="7"/>
        <v>16666.666666666668</v>
      </c>
      <c r="AF26" s="416">
        <f t="shared" si="9"/>
        <v>166666.66666666666</v>
      </c>
      <c r="AG26" s="415">
        <f t="shared" si="118"/>
        <v>17333.333333333336</v>
      </c>
      <c r="AH26" s="415">
        <f t="shared" si="11"/>
        <v>17333.333333333336</v>
      </c>
      <c r="AI26" s="415">
        <f t="shared" si="11"/>
        <v>17333.333333333336</v>
      </c>
      <c r="AJ26" s="415">
        <f t="shared" si="11"/>
        <v>17333.333333333336</v>
      </c>
      <c r="AK26" s="415">
        <f t="shared" si="11"/>
        <v>17333.333333333336</v>
      </c>
      <c r="AL26" s="415">
        <f t="shared" si="11"/>
        <v>17333.333333333336</v>
      </c>
      <c r="AM26" s="415">
        <f t="shared" si="11"/>
        <v>17333.333333333336</v>
      </c>
      <c r="AN26" s="415">
        <f t="shared" si="11"/>
        <v>17333.333333333336</v>
      </c>
      <c r="AO26" s="415">
        <f t="shared" si="11"/>
        <v>17333.333333333336</v>
      </c>
      <c r="AP26" s="415">
        <f t="shared" si="11"/>
        <v>17333.333333333336</v>
      </c>
      <c r="AQ26" s="415">
        <f t="shared" si="11"/>
        <v>17333.333333333336</v>
      </c>
      <c r="AR26" s="415">
        <f t="shared" si="11"/>
        <v>17333.333333333336</v>
      </c>
      <c r="AS26" s="416">
        <f t="shared" si="12"/>
        <v>208000.00000000009</v>
      </c>
      <c r="AT26" s="415">
        <f t="shared" si="119"/>
        <v>18026.666666666672</v>
      </c>
      <c r="AU26" s="415">
        <f t="shared" si="14"/>
        <v>18026.666666666672</v>
      </c>
      <c r="AV26" s="415">
        <f t="shared" si="14"/>
        <v>18026.666666666672</v>
      </c>
      <c r="AW26" s="415">
        <f t="shared" si="14"/>
        <v>18026.666666666672</v>
      </c>
      <c r="AX26" s="415">
        <f t="shared" si="14"/>
        <v>18026.666666666672</v>
      </c>
      <c r="AY26" s="415">
        <f t="shared" si="14"/>
        <v>18026.666666666672</v>
      </c>
      <c r="AZ26" s="415">
        <f t="shared" si="14"/>
        <v>18026.666666666672</v>
      </c>
      <c r="BA26" s="415">
        <f t="shared" si="14"/>
        <v>18026.666666666672</v>
      </c>
      <c r="BB26" s="415">
        <f t="shared" si="14"/>
        <v>18026.666666666672</v>
      </c>
      <c r="BC26" s="415">
        <f t="shared" si="14"/>
        <v>18026.666666666672</v>
      </c>
      <c r="BD26" s="415">
        <f t="shared" si="14"/>
        <v>18026.666666666672</v>
      </c>
      <c r="BE26" s="415">
        <f t="shared" si="14"/>
        <v>18026.666666666672</v>
      </c>
      <c r="BF26" s="416">
        <f t="shared" si="15"/>
        <v>216320.00000000012</v>
      </c>
      <c r="BG26" s="415">
        <f t="shared" si="120"/>
        <v>18747.733333333337</v>
      </c>
      <c r="BH26" s="415">
        <f t="shared" si="17"/>
        <v>18747.733333333337</v>
      </c>
      <c r="BI26" s="415">
        <f t="shared" si="17"/>
        <v>18747.733333333337</v>
      </c>
      <c r="BJ26" s="415">
        <f t="shared" si="17"/>
        <v>18747.733333333337</v>
      </c>
      <c r="BK26" s="415">
        <f t="shared" si="17"/>
        <v>18747.733333333337</v>
      </c>
      <c r="BL26" s="415">
        <f t="shared" si="17"/>
        <v>18747.733333333337</v>
      </c>
      <c r="BM26" s="415">
        <f t="shared" si="17"/>
        <v>18747.733333333337</v>
      </c>
      <c r="BN26" s="415">
        <f t="shared" si="17"/>
        <v>18747.733333333337</v>
      </c>
      <c r="BO26" s="415">
        <f t="shared" si="17"/>
        <v>18747.733333333337</v>
      </c>
      <c r="BP26" s="415">
        <f t="shared" si="17"/>
        <v>18747.733333333337</v>
      </c>
      <c r="BQ26" s="415">
        <f t="shared" si="17"/>
        <v>18747.733333333337</v>
      </c>
      <c r="BR26" s="415">
        <f t="shared" si="17"/>
        <v>18747.733333333337</v>
      </c>
      <c r="BS26" s="416">
        <f t="shared" si="18"/>
        <v>224972.80000000005</v>
      </c>
      <c r="BT26" s="415">
        <f t="shared" si="121"/>
        <v>19497.64266666667</v>
      </c>
      <c r="BU26" s="415">
        <f t="shared" si="20"/>
        <v>19497.64266666667</v>
      </c>
      <c r="BV26" s="415">
        <f t="shared" si="20"/>
        <v>19497.64266666667</v>
      </c>
      <c r="BW26" s="415">
        <f t="shared" si="20"/>
        <v>19497.64266666667</v>
      </c>
      <c r="BX26" s="415">
        <f t="shared" si="20"/>
        <v>19497.64266666667</v>
      </c>
      <c r="BY26" s="415">
        <f t="shared" si="20"/>
        <v>19497.64266666667</v>
      </c>
      <c r="BZ26" s="415">
        <f t="shared" si="20"/>
        <v>19497.64266666667</v>
      </c>
      <c r="CA26" s="415">
        <f t="shared" si="20"/>
        <v>19497.64266666667</v>
      </c>
      <c r="CB26" s="415">
        <f t="shared" si="20"/>
        <v>19497.64266666667</v>
      </c>
      <c r="CC26" s="415">
        <f t="shared" si="20"/>
        <v>19497.64266666667</v>
      </c>
      <c r="CD26" s="415">
        <f t="shared" si="20"/>
        <v>19497.64266666667</v>
      </c>
      <c r="CE26" s="415">
        <f t="shared" si="20"/>
        <v>19497.64266666667</v>
      </c>
      <c r="CF26" s="416">
        <f t="shared" si="21"/>
        <v>233971.71200000009</v>
      </c>
    </row>
    <row r="27" spans="1:84">
      <c r="A27" s="399"/>
      <c r="B27" s="412" t="s">
        <v>137</v>
      </c>
      <c r="C27" s="412" t="s">
        <v>597</v>
      </c>
      <c r="D27" s="413">
        <v>80000</v>
      </c>
      <c r="E27" s="413">
        <v>50000</v>
      </c>
      <c r="F27" s="414" t="s">
        <v>311</v>
      </c>
      <c r="G27" s="415"/>
      <c r="H27" s="415"/>
      <c r="I27" s="415"/>
      <c r="J27" s="415"/>
      <c r="K27" s="415"/>
      <c r="L27" s="415"/>
      <c r="M27" s="415"/>
      <c r="N27" s="415"/>
      <c r="O27" s="415"/>
      <c r="P27" s="415"/>
      <c r="Q27" s="415"/>
      <c r="R27" s="415"/>
      <c r="S27" s="416"/>
      <c r="T27" s="415">
        <f t="shared" si="6"/>
        <v>0</v>
      </c>
      <c r="U27" s="415">
        <f t="shared" si="7"/>
        <v>0</v>
      </c>
      <c r="V27" s="415">
        <f t="shared" si="7"/>
        <v>0</v>
      </c>
      <c r="W27" s="415">
        <f t="shared" si="7"/>
        <v>0</v>
      </c>
      <c r="X27" s="415">
        <f t="shared" si="7"/>
        <v>0</v>
      </c>
      <c r="Y27" s="415">
        <f t="shared" si="7"/>
        <v>0</v>
      </c>
      <c r="Z27" s="415">
        <f t="shared" si="7"/>
        <v>0</v>
      </c>
      <c r="AA27" s="415">
        <f t="shared" si="7"/>
        <v>0</v>
      </c>
      <c r="AB27" s="415">
        <f t="shared" si="7"/>
        <v>0</v>
      </c>
      <c r="AC27" s="415">
        <f t="shared" si="7"/>
        <v>0</v>
      </c>
      <c r="AD27" s="415">
        <f t="shared" si="7"/>
        <v>0</v>
      </c>
      <c r="AE27" s="415">
        <f t="shared" si="7"/>
        <v>0</v>
      </c>
      <c r="AF27" s="416">
        <f t="shared" si="9"/>
        <v>0</v>
      </c>
      <c r="AG27" s="415">
        <f t="shared" si="118"/>
        <v>0</v>
      </c>
      <c r="AH27" s="415">
        <f t="shared" si="11"/>
        <v>0</v>
      </c>
      <c r="AI27" s="415">
        <f t="shared" si="11"/>
        <v>0</v>
      </c>
      <c r="AJ27" s="415">
        <f t="shared" si="11"/>
        <v>0</v>
      </c>
      <c r="AK27" s="415">
        <f t="shared" si="11"/>
        <v>10833.333333333334</v>
      </c>
      <c r="AL27" s="415">
        <f t="shared" si="11"/>
        <v>10833.333333333334</v>
      </c>
      <c r="AM27" s="415">
        <f t="shared" si="11"/>
        <v>10833.333333333334</v>
      </c>
      <c r="AN27" s="415">
        <f t="shared" si="11"/>
        <v>10833.333333333334</v>
      </c>
      <c r="AO27" s="415">
        <f t="shared" si="11"/>
        <v>10833.333333333334</v>
      </c>
      <c r="AP27" s="415">
        <f t="shared" si="11"/>
        <v>10833.333333333334</v>
      </c>
      <c r="AQ27" s="415">
        <f t="shared" si="11"/>
        <v>10833.333333333334</v>
      </c>
      <c r="AR27" s="415">
        <f t="shared" si="11"/>
        <v>10833.333333333334</v>
      </c>
      <c r="AS27" s="416">
        <f t="shared" si="12"/>
        <v>86666.666666666672</v>
      </c>
      <c r="AT27" s="415">
        <f t="shared" si="119"/>
        <v>11266.666666666668</v>
      </c>
      <c r="AU27" s="415">
        <f t="shared" si="14"/>
        <v>11266.666666666668</v>
      </c>
      <c r="AV27" s="415">
        <f t="shared" si="14"/>
        <v>11266.666666666668</v>
      </c>
      <c r="AW27" s="415">
        <f t="shared" si="14"/>
        <v>11266.666666666668</v>
      </c>
      <c r="AX27" s="415">
        <f t="shared" si="14"/>
        <v>11266.666666666668</v>
      </c>
      <c r="AY27" s="415">
        <f t="shared" si="14"/>
        <v>11266.666666666668</v>
      </c>
      <c r="AZ27" s="415">
        <f t="shared" si="14"/>
        <v>11266.666666666668</v>
      </c>
      <c r="BA27" s="415">
        <f t="shared" si="14"/>
        <v>11266.666666666668</v>
      </c>
      <c r="BB27" s="415">
        <f t="shared" si="14"/>
        <v>11266.666666666668</v>
      </c>
      <c r="BC27" s="415">
        <f t="shared" si="14"/>
        <v>11266.666666666668</v>
      </c>
      <c r="BD27" s="415">
        <f t="shared" si="14"/>
        <v>11266.666666666668</v>
      </c>
      <c r="BE27" s="415">
        <f t="shared" si="14"/>
        <v>11266.666666666668</v>
      </c>
      <c r="BF27" s="416">
        <f t="shared" si="15"/>
        <v>135200.00000000003</v>
      </c>
      <c r="BG27" s="415">
        <f t="shared" si="120"/>
        <v>11717.333333333336</v>
      </c>
      <c r="BH27" s="415">
        <f t="shared" si="17"/>
        <v>11717.333333333336</v>
      </c>
      <c r="BI27" s="415">
        <f t="shared" si="17"/>
        <v>11717.333333333336</v>
      </c>
      <c r="BJ27" s="415">
        <f t="shared" si="17"/>
        <v>11717.333333333336</v>
      </c>
      <c r="BK27" s="415">
        <f t="shared" si="17"/>
        <v>11717.333333333336</v>
      </c>
      <c r="BL27" s="415">
        <f t="shared" si="17"/>
        <v>11717.333333333336</v>
      </c>
      <c r="BM27" s="415">
        <f t="shared" si="17"/>
        <v>11717.333333333336</v>
      </c>
      <c r="BN27" s="415">
        <f t="shared" si="17"/>
        <v>11717.333333333336</v>
      </c>
      <c r="BO27" s="415">
        <f t="shared" si="17"/>
        <v>11717.333333333336</v>
      </c>
      <c r="BP27" s="415">
        <f t="shared" si="17"/>
        <v>11717.333333333336</v>
      </c>
      <c r="BQ27" s="415">
        <f t="shared" si="17"/>
        <v>11717.333333333336</v>
      </c>
      <c r="BR27" s="415">
        <f t="shared" si="17"/>
        <v>11717.333333333336</v>
      </c>
      <c r="BS27" s="416">
        <f t="shared" si="18"/>
        <v>140608.00000000006</v>
      </c>
      <c r="BT27" s="415">
        <f t="shared" si="121"/>
        <v>12186.02666666667</v>
      </c>
      <c r="BU27" s="415">
        <f t="shared" si="20"/>
        <v>12186.02666666667</v>
      </c>
      <c r="BV27" s="415">
        <f t="shared" si="20"/>
        <v>12186.02666666667</v>
      </c>
      <c r="BW27" s="415">
        <f t="shared" si="20"/>
        <v>12186.02666666667</v>
      </c>
      <c r="BX27" s="415">
        <f t="shared" si="20"/>
        <v>12186.02666666667</v>
      </c>
      <c r="BY27" s="415">
        <f t="shared" si="20"/>
        <v>12186.02666666667</v>
      </c>
      <c r="BZ27" s="415">
        <f t="shared" si="20"/>
        <v>12186.02666666667</v>
      </c>
      <c r="CA27" s="415">
        <f t="shared" si="20"/>
        <v>12186.02666666667</v>
      </c>
      <c r="CB27" s="415">
        <f t="shared" si="20"/>
        <v>12186.02666666667</v>
      </c>
      <c r="CC27" s="415">
        <f t="shared" si="20"/>
        <v>12186.02666666667</v>
      </c>
      <c r="CD27" s="415">
        <f t="shared" si="20"/>
        <v>12186.02666666667</v>
      </c>
      <c r="CE27" s="415">
        <f t="shared" si="20"/>
        <v>12186.02666666667</v>
      </c>
      <c r="CF27" s="416">
        <f t="shared" si="21"/>
        <v>146232.32000000004</v>
      </c>
    </row>
    <row r="28" spans="1:84">
      <c r="A28" s="399"/>
      <c r="B28" s="412" t="s">
        <v>137</v>
      </c>
      <c r="C28" s="412" t="s">
        <v>597</v>
      </c>
      <c r="D28" s="413">
        <v>80000</v>
      </c>
      <c r="E28" s="413">
        <v>50000</v>
      </c>
      <c r="F28" s="414" t="s">
        <v>319</v>
      </c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6"/>
      <c r="T28" s="415">
        <f t="shared" si="6"/>
        <v>0</v>
      </c>
      <c r="U28" s="415">
        <f t="shared" si="7"/>
        <v>0</v>
      </c>
      <c r="V28" s="415">
        <f t="shared" si="7"/>
        <v>0</v>
      </c>
      <c r="W28" s="415">
        <f t="shared" si="7"/>
        <v>0</v>
      </c>
      <c r="X28" s="415">
        <f t="shared" si="7"/>
        <v>0</v>
      </c>
      <c r="Y28" s="415">
        <f t="shared" si="7"/>
        <v>0</v>
      </c>
      <c r="Z28" s="415">
        <f t="shared" si="7"/>
        <v>0</v>
      </c>
      <c r="AA28" s="415">
        <f t="shared" si="7"/>
        <v>0</v>
      </c>
      <c r="AB28" s="415">
        <f t="shared" si="7"/>
        <v>0</v>
      </c>
      <c r="AC28" s="415">
        <f t="shared" si="7"/>
        <v>0</v>
      </c>
      <c r="AD28" s="415">
        <f t="shared" si="7"/>
        <v>0</v>
      </c>
      <c r="AE28" s="415">
        <f t="shared" si="7"/>
        <v>0</v>
      </c>
      <c r="AF28" s="416">
        <f t="shared" si="9"/>
        <v>0</v>
      </c>
      <c r="AG28" s="415">
        <f t="shared" si="118"/>
        <v>0</v>
      </c>
      <c r="AH28" s="415">
        <f t="shared" si="11"/>
        <v>0</v>
      </c>
      <c r="AI28" s="415">
        <f t="shared" si="11"/>
        <v>0</v>
      </c>
      <c r="AJ28" s="415">
        <f t="shared" si="11"/>
        <v>0</v>
      </c>
      <c r="AK28" s="415">
        <f t="shared" si="11"/>
        <v>0</v>
      </c>
      <c r="AL28" s="415">
        <f t="shared" si="11"/>
        <v>0</v>
      </c>
      <c r="AM28" s="415">
        <f t="shared" si="11"/>
        <v>0</v>
      </c>
      <c r="AN28" s="415">
        <f t="shared" si="11"/>
        <v>0</v>
      </c>
      <c r="AO28" s="415">
        <f t="shared" si="11"/>
        <v>0</v>
      </c>
      <c r="AP28" s="415">
        <f t="shared" si="11"/>
        <v>0</v>
      </c>
      <c r="AQ28" s="415">
        <f t="shared" si="11"/>
        <v>0</v>
      </c>
      <c r="AR28" s="415">
        <f t="shared" si="11"/>
        <v>0</v>
      </c>
      <c r="AS28" s="416">
        <f t="shared" si="12"/>
        <v>0</v>
      </c>
      <c r="AT28" s="415">
        <f t="shared" si="119"/>
        <v>10833.333333333334</v>
      </c>
      <c r="AU28" s="415">
        <f t="shared" si="14"/>
        <v>10833.333333333334</v>
      </c>
      <c r="AV28" s="415">
        <f t="shared" si="14"/>
        <v>10833.333333333334</v>
      </c>
      <c r="AW28" s="415">
        <f t="shared" si="14"/>
        <v>10833.333333333334</v>
      </c>
      <c r="AX28" s="415">
        <f t="shared" si="14"/>
        <v>10833.333333333334</v>
      </c>
      <c r="AY28" s="415">
        <f t="shared" si="14"/>
        <v>10833.333333333334</v>
      </c>
      <c r="AZ28" s="415">
        <f t="shared" si="14"/>
        <v>10833.333333333334</v>
      </c>
      <c r="BA28" s="415">
        <f t="shared" si="14"/>
        <v>10833.333333333334</v>
      </c>
      <c r="BB28" s="415">
        <f t="shared" si="14"/>
        <v>10833.333333333334</v>
      </c>
      <c r="BC28" s="415">
        <f t="shared" si="14"/>
        <v>10833.333333333334</v>
      </c>
      <c r="BD28" s="415">
        <f t="shared" si="14"/>
        <v>10833.333333333334</v>
      </c>
      <c r="BE28" s="415">
        <f t="shared" si="14"/>
        <v>10833.333333333334</v>
      </c>
      <c r="BF28" s="416">
        <f t="shared" si="15"/>
        <v>129999.99999999999</v>
      </c>
      <c r="BG28" s="415">
        <f t="shared" si="120"/>
        <v>11266.666666666668</v>
      </c>
      <c r="BH28" s="415">
        <f t="shared" si="17"/>
        <v>11266.666666666668</v>
      </c>
      <c r="BI28" s="415">
        <f t="shared" si="17"/>
        <v>11266.666666666668</v>
      </c>
      <c r="BJ28" s="415">
        <f t="shared" si="17"/>
        <v>11266.666666666668</v>
      </c>
      <c r="BK28" s="415">
        <f t="shared" si="17"/>
        <v>11266.666666666668</v>
      </c>
      <c r="BL28" s="415">
        <f t="shared" si="17"/>
        <v>11266.666666666668</v>
      </c>
      <c r="BM28" s="415">
        <f t="shared" si="17"/>
        <v>11266.666666666668</v>
      </c>
      <c r="BN28" s="415">
        <f t="shared" si="17"/>
        <v>11266.666666666668</v>
      </c>
      <c r="BO28" s="415">
        <f t="shared" si="17"/>
        <v>11266.666666666668</v>
      </c>
      <c r="BP28" s="415">
        <f t="shared" si="17"/>
        <v>11266.666666666668</v>
      </c>
      <c r="BQ28" s="415">
        <f t="shared" si="17"/>
        <v>11266.666666666668</v>
      </c>
      <c r="BR28" s="415">
        <f t="shared" si="17"/>
        <v>11266.666666666668</v>
      </c>
      <c r="BS28" s="416">
        <f t="shared" si="18"/>
        <v>135200.00000000003</v>
      </c>
      <c r="BT28" s="415">
        <f t="shared" si="121"/>
        <v>11717.333333333336</v>
      </c>
      <c r="BU28" s="415">
        <f t="shared" si="20"/>
        <v>11717.333333333336</v>
      </c>
      <c r="BV28" s="415">
        <f t="shared" si="20"/>
        <v>11717.333333333336</v>
      </c>
      <c r="BW28" s="415">
        <f t="shared" si="20"/>
        <v>11717.333333333336</v>
      </c>
      <c r="BX28" s="415">
        <f t="shared" si="20"/>
        <v>11717.333333333336</v>
      </c>
      <c r="BY28" s="415">
        <f t="shared" si="20"/>
        <v>11717.333333333336</v>
      </c>
      <c r="BZ28" s="415">
        <f t="shared" si="20"/>
        <v>11717.333333333336</v>
      </c>
      <c r="CA28" s="415">
        <f t="shared" si="20"/>
        <v>11717.333333333336</v>
      </c>
      <c r="CB28" s="415">
        <f t="shared" si="20"/>
        <v>11717.333333333336</v>
      </c>
      <c r="CC28" s="415">
        <f t="shared" si="20"/>
        <v>11717.333333333336</v>
      </c>
      <c r="CD28" s="415">
        <f t="shared" si="20"/>
        <v>11717.333333333336</v>
      </c>
      <c r="CE28" s="415">
        <f t="shared" si="20"/>
        <v>11717.333333333336</v>
      </c>
      <c r="CF28" s="416">
        <f t="shared" si="21"/>
        <v>140608.00000000006</v>
      </c>
    </row>
    <row r="29" spans="1:84">
      <c r="A29" s="399"/>
      <c r="B29" s="412" t="s">
        <v>137</v>
      </c>
      <c r="C29" s="412" t="s">
        <v>598</v>
      </c>
      <c r="D29" s="413">
        <v>75000</v>
      </c>
      <c r="E29" s="413">
        <v>50000</v>
      </c>
      <c r="F29" s="414" t="s">
        <v>319</v>
      </c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6"/>
      <c r="T29" s="415">
        <f t="shared" si="6"/>
        <v>0</v>
      </c>
      <c r="U29" s="415">
        <f t="shared" si="7"/>
        <v>0</v>
      </c>
      <c r="V29" s="415">
        <f t="shared" si="7"/>
        <v>0</v>
      </c>
      <c r="W29" s="415">
        <f t="shared" si="7"/>
        <v>0</v>
      </c>
      <c r="X29" s="415">
        <f t="shared" si="7"/>
        <v>0</v>
      </c>
      <c r="Y29" s="415">
        <f t="shared" si="7"/>
        <v>0</v>
      </c>
      <c r="Z29" s="415">
        <f t="shared" si="7"/>
        <v>0</v>
      </c>
      <c r="AA29" s="415">
        <f t="shared" si="7"/>
        <v>0</v>
      </c>
      <c r="AB29" s="415">
        <f t="shared" si="7"/>
        <v>0</v>
      </c>
      <c r="AC29" s="415">
        <f t="shared" si="7"/>
        <v>0</v>
      </c>
      <c r="AD29" s="415">
        <f t="shared" si="7"/>
        <v>0</v>
      </c>
      <c r="AE29" s="415">
        <f t="shared" si="7"/>
        <v>0</v>
      </c>
      <c r="AF29" s="416">
        <f t="shared" si="9"/>
        <v>0</v>
      </c>
      <c r="AG29" s="415">
        <f t="shared" si="118"/>
        <v>0</v>
      </c>
      <c r="AH29" s="415">
        <f t="shared" si="11"/>
        <v>0</v>
      </c>
      <c r="AI29" s="415">
        <f t="shared" si="11"/>
        <v>0</v>
      </c>
      <c r="AJ29" s="415">
        <f t="shared" si="11"/>
        <v>0</v>
      </c>
      <c r="AK29" s="415">
        <f t="shared" si="11"/>
        <v>0</v>
      </c>
      <c r="AL29" s="415">
        <f t="shared" si="11"/>
        <v>0</v>
      </c>
      <c r="AM29" s="415">
        <f t="shared" si="11"/>
        <v>0</v>
      </c>
      <c r="AN29" s="415">
        <f t="shared" si="11"/>
        <v>0</v>
      </c>
      <c r="AO29" s="415">
        <f t="shared" si="11"/>
        <v>0</v>
      </c>
      <c r="AP29" s="415">
        <f t="shared" si="11"/>
        <v>0</v>
      </c>
      <c r="AQ29" s="415">
        <f t="shared" si="11"/>
        <v>0</v>
      </c>
      <c r="AR29" s="415">
        <f t="shared" si="11"/>
        <v>0</v>
      </c>
      <c r="AS29" s="416">
        <f t="shared" si="12"/>
        <v>0</v>
      </c>
      <c r="AT29" s="415">
        <f t="shared" si="119"/>
        <v>10416.666666666666</v>
      </c>
      <c r="AU29" s="415">
        <f t="shared" si="14"/>
        <v>10416.666666666666</v>
      </c>
      <c r="AV29" s="415">
        <f t="shared" si="14"/>
        <v>10416.666666666666</v>
      </c>
      <c r="AW29" s="415">
        <f t="shared" si="14"/>
        <v>10416.666666666666</v>
      </c>
      <c r="AX29" s="415">
        <f t="shared" si="14"/>
        <v>10416.666666666666</v>
      </c>
      <c r="AY29" s="415">
        <f t="shared" si="14"/>
        <v>10416.666666666666</v>
      </c>
      <c r="AZ29" s="415">
        <f t="shared" si="14"/>
        <v>10416.666666666666</v>
      </c>
      <c r="BA29" s="415">
        <f t="shared" si="14"/>
        <v>10416.666666666666</v>
      </c>
      <c r="BB29" s="415">
        <f t="shared" si="14"/>
        <v>10416.666666666666</v>
      </c>
      <c r="BC29" s="415">
        <f t="shared" si="14"/>
        <v>10416.666666666666</v>
      </c>
      <c r="BD29" s="415">
        <f t="shared" si="14"/>
        <v>10416.666666666666</v>
      </c>
      <c r="BE29" s="415">
        <f t="shared" si="14"/>
        <v>10416.666666666666</v>
      </c>
      <c r="BF29" s="416">
        <f t="shared" si="15"/>
        <v>125000.00000000001</v>
      </c>
      <c r="BG29" s="415">
        <f t="shared" si="120"/>
        <v>10833.333333333334</v>
      </c>
      <c r="BH29" s="415">
        <f t="shared" si="17"/>
        <v>10833.333333333334</v>
      </c>
      <c r="BI29" s="415">
        <f t="shared" si="17"/>
        <v>10833.333333333334</v>
      </c>
      <c r="BJ29" s="415">
        <f t="shared" si="17"/>
        <v>10833.333333333334</v>
      </c>
      <c r="BK29" s="415">
        <f t="shared" si="17"/>
        <v>10833.333333333334</v>
      </c>
      <c r="BL29" s="415">
        <f t="shared" si="17"/>
        <v>10833.333333333334</v>
      </c>
      <c r="BM29" s="415">
        <f t="shared" si="17"/>
        <v>10833.333333333334</v>
      </c>
      <c r="BN29" s="415">
        <f t="shared" si="17"/>
        <v>10833.333333333334</v>
      </c>
      <c r="BO29" s="415">
        <f t="shared" si="17"/>
        <v>10833.333333333334</v>
      </c>
      <c r="BP29" s="415">
        <f t="shared" si="17"/>
        <v>10833.333333333334</v>
      </c>
      <c r="BQ29" s="415">
        <f t="shared" si="17"/>
        <v>10833.333333333334</v>
      </c>
      <c r="BR29" s="415">
        <f t="shared" si="17"/>
        <v>10833.333333333334</v>
      </c>
      <c r="BS29" s="416">
        <f t="shared" si="18"/>
        <v>129999.99999999999</v>
      </c>
      <c r="BT29" s="415">
        <f t="shared" si="121"/>
        <v>11266.666666666668</v>
      </c>
      <c r="BU29" s="415">
        <f t="shared" si="20"/>
        <v>11266.666666666668</v>
      </c>
      <c r="BV29" s="415">
        <f t="shared" si="20"/>
        <v>11266.666666666668</v>
      </c>
      <c r="BW29" s="415">
        <f t="shared" si="20"/>
        <v>11266.666666666668</v>
      </c>
      <c r="BX29" s="415">
        <f t="shared" si="20"/>
        <v>11266.666666666668</v>
      </c>
      <c r="BY29" s="415">
        <f t="shared" si="20"/>
        <v>11266.666666666668</v>
      </c>
      <c r="BZ29" s="415">
        <f t="shared" si="20"/>
        <v>11266.666666666668</v>
      </c>
      <c r="CA29" s="415">
        <f t="shared" si="20"/>
        <v>11266.666666666668</v>
      </c>
      <c r="CB29" s="415">
        <f t="shared" si="20"/>
        <v>11266.666666666668</v>
      </c>
      <c r="CC29" s="415">
        <f t="shared" si="20"/>
        <v>11266.666666666668</v>
      </c>
      <c r="CD29" s="415">
        <f t="shared" si="20"/>
        <v>11266.666666666668</v>
      </c>
      <c r="CE29" s="415">
        <f t="shared" si="20"/>
        <v>11266.666666666668</v>
      </c>
      <c r="CF29" s="416">
        <f t="shared" si="21"/>
        <v>135200.00000000003</v>
      </c>
    </row>
    <row r="30" spans="1:84">
      <c r="A30" s="408" t="s">
        <v>599</v>
      </c>
      <c r="B30" s="412"/>
      <c r="C30" s="412"/>
      <c r="D30" s="413"/>
      <c r="E30" s="413"/>
      <c r="F30" s="414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6"/>
      <c r="T30" s="415"/>
      <c r="U30" s="415"/>
      <c r="V30" s="415"/>
      <c r="W30" s="415"/>
      <c r="X30" s="415"/>
      <c r="Y30" s="415"/>
      <c r="Z30" s="415"/>
      <c r="AA30" s="415"/>
      <c r="AB30" s="415"/>
      <c r="AC30" s="415"/>
      <c r="AD30" s="415"/>
      <c r="AE30" s="415"/>
      <c r="AF30" s="416"/>
      <c r="AG30" s="415"/>
      <c r="AH30" s="415"/>
      <c r="AI30" s="415"/>
      <c r="AJ30" s="415"/>
      <c r="AK30" s="415"/>
      <c r="AL30" s="415"/>
      <c r="AM30" s="415"/>
      <c r="AN30" s="415"/>
      <c r="AO30" s="415"/>
      <c r="AP30" s="415"/>
      <c r="AQ30" s="415"/>
      <c r="AR30" s="415"/>
      <c r="AS30" s="416"/>
      <c r="AT30" s="415"/>
      <c r="AU30" s="415"/>
      <c r="AV30" s="415"/>
      <c r="AW30" s="415"/>
      <c r="AX30" s="415"/>
      <c r="AY30" s="415"/>
      <c r="AZ30" s="415"/>
      <c r="BA30" s="415"/>
      <c r="BB30" s="415"/>
      <c r="BC30" s="415"/>
      <c r="BD30" s="415"/>
      <c r="BE30" s="415"/>
      <c r="BF30" s="416"/>
      <c r="BG30" s="415"/>
      <c r="BH30" s="415"/>
      <c r="BI30" s="415"/>
      <c r="BJ30" s="415"/>
      <c r="BK30" s="415"/>
      <c r="BL30" s="415"/>
      <c r="BM30" s="415"/>
      <c r="BN30" s="415"/>
      <c r="BO30" s="415"/>
      <c r="BP30" s="415"/>
      <c r="BQ30" s="415"/>
      <c r="BR30" s="415"/>
      <c r="BS30" s="416"/>
      <c r="BT30" s="415"/>
      <c r="BU30" s="415"/>
      <c r="BV30" s="415"/>
      <c r="BW30" s="415"/>
      <c r="BX30" s="415"/>
      <c r="BY30" s="415"/>
      <c r="BZ30" s="415"/>
      <c r="CA30" s="415"/>
      <c r="CB30" s="415"/>
      <c r="CC30" s="415"/>
      <c r="CD30" s="415"/>
      <c r="CE30" s="415"/>
      <c r="CF30" s="416"/>
    </row>
    <row r="31" spans="1:84">
      <c r="A31" s="399"/>
      <c r="B31" s="412" t="s">
        <v>137</v>
      </c>
      <c r="C31" s="412" t="s">
        <v>600</v>
      </c>
      <c r="D31" s="413">
        <v>120000</v>
      </c>
      <c r="E31" s="413"/>
      <c r="F31" s="414" t="s">
        <v>311</v>
      </c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6"/>
      <c r="T31" s="415">
        <f t="shared" si="6"/>
        <v>0</v>
      </c>
      <c r="U31" s="415">
        <f t="shared" si="7"/>
        <v>0</v>
      </c>
      <c r="V31" s="415">
        <f t="shared" si="7"/>
        <v>0</v>
      </c>
      <c r="W31" s="415">
        <f t="shared" ref="U31:AE63" si="122">IF($F31=W$6,(($D31+$E31)/12),V31)</f>
        <v>0</v>
      </c>
      <c r="X31" s="415">
        <f t="shared" si="122"/>
        <v>0</v>
      </c>
      <c r="Y31" s="415">
        <f t="shared" si="122"/>
        <v>0</v>
      </c>
      <c r="Z31" s="415">
        <f t="shared" si="122"/>
        <v>0</v>
      </c>
      <c r="AA31" s="415">
        <f t="shared" si="122"/>
        <v>0</v>
      </c>
      <c r="AB31" s="415">
        <f t="shared" si="122"/>
        <v>0</v>
      </c>
      <c r="AC31" s="415">
        <f t="shared" si="122"/>
        <v>0</v>
      </c>
      <c r="AD31" s="415">
        <f t="shared" si="122"/>
        <v>0</v>
      </c>
      <c r="AE31" s="415">
        <f t="shared" si="122"/>
        <v>0</v>
      </c>
      <c r="AF31" s="416">
        <f t="shared" si="9"/>
        <v>0</v>
      </c>
      <c r="AG31" s="415">
        <f t="shared" si="118"/>
        <v>0</v>
      </c>
      <c r="AH31" s="415">
        <f t="shared" si="11"/>
        <v>0</v>
      </c>
      <c r="AI31" s="415">
        <f t="shared" si="11"/>
        <v>0</v>
      </c>
      <c r="AJ31" s="415">
        <f t="shared" ref="AH31:AR63" si="123">IF($F31=AJ$6,(($D31+$E31)/12),AI31)</f>
        <v>0</v>
      </c>
      <c r="AK31" s="415">
        <f t="shared" si="123"/>
        <v>10000</v>
      </c>
      <c r="AL31" s="415">
        <f t="shared" si="123"/>
        <v>10000</v>
      </c>
      <c r="AM31" s="415">
        <f t="shared" si="123"/>
        <v>10000</v>
      </c>
      <c r="AN31" s="415">
        <f t="shared" si="123"/>
        <v>10000</v>
      </c>
      <c r="AO31" s="415">
        <f t="shared" si="123"/>
        <v>10000</v>
      </c>
      <c r="AP31" s="415">
        <f t="shared" si="123"/>
        <v>10000</v>
      </c>
      <c r="AQ31" s="415">
        <f t="shared" si="123"/>
        <v>10000</v>
      </c>
      <c r="AR31" s="415">
        <f t="shared" si="123"/>
        <v>10000</v>
      </c>
      <c r="AS31" s="416">
        <f t="shared" si="12"/>
        <v>80000</v>
      </c>
      <c r="AT31" s="415">
        <f t="shared" si="119"/>
        <v>10400</v>
      </c>
      <c r="AU31" s="415">
        <f t="shared" si="14"/>
        <v>10400</v>
      </c>
      <c r="AV31" s="415">
        <f t="shared" si="14"/>
        <v>10400</v>
      </c>
      <c r="AW31" s="415">
        <f t="shared" ref="AU31:BE63" si="124">IF($F31=AW$6,(($D31+$E31)/12),AV31)</f>
        <v>10400</v>
      </c>
      <c r="AX31" s="415">
        <f t="shared" si="124"/>
        <v>10400</v>
      </c>
      <c r="AY31" s="415">
        <f t="shared" si="124"/>
        <v>10400</v>
      </c>
      <c r="AZ31" s="415">
        <f t="shared" si="124"/>
        <v>10400</v>
      </c>
      <c r="BA31" s="415">
        <f t="shared" si="124"/>
        <v>10400</v>
      </c>
      <c r="BB31" s="415">
        <f t="shared" si="124"/>
        <v>10400</v>
      </c>
      <c r="BC31" s="415">
        <f t="shared" si="124"/>
        <v>10400</v>
      </c>
      <c r="BD31" s="415">
        <f t="shared" si="124"/>
        <v>10400</v>
      </c>
      <c r="BE31" s="415">
        <f t="shared" si="124"/>
        <v>10400</v>
      </c>
      <c r="BF31" s="416">
        <f t="shared" si="15"/>
        <v>124800</v>
      </c>
      <c r="BG31" s="415">
        <f t="shared" si="120"/>
        <v>10816</v>
      </c>
      <c r="BH31" s="415">
        <f t="shared" si="17"/>
        <v>10816</v>
      </c>
      <c r="BI31" s="415">
        <f t="shared" si="17"/>
        <v>10816</v>
      </c>
      <c r="BJ31" s="415">
        <f t="shared" ref="BJ31:BR37" si="125">IF($F31=BJ$6,(($D31+$E31)/12),BI31)</f>
        <v>10816</v>
      </c>
      <c r="BK31" s="415">
        <f t="shared" si="125"/>
        <v>10816</v>
      </c>
      <c r="BL31" s="415">
        <f t="shared" si="125"/>
        <v>10816</v>
      </c>
      <c r="BM31" s="415">
        <f t="shared" si="125"/>
        <v>10816</v>
      </c>
      <c r="BN31" s="415">
        <f t="shared" si="125"/>
        <v>10816</v>
      </c>
      <c r="BO31" s="415">
        <f t="shared" si="125"/>
        <v>10816</v>
      </c>
      <c r="BP31" s="415">
        <f t="shared" si="125"/>
        <v>10816</v>
      </c>
      <c r="BQ31" s="415">
        <f t="shared" si="125"/>
        <v>10816</v>
      </c>
      <c r="BR31" s="415">
        <f t="shared" si="125"/>
        <v>10816</v>
      </c>
      <c r="BS31" s="416">
        <f t="shared" si="18"/>
        <v>129792</v>
      </c>
      <c r="BT31" s="415">
        <f t="shared" si="121"/>
        <v>11248.640000000001</v>
      </c>
      <c r="BU31" s="415">
        <f t="shared" si="20"/>
        <v>11248.640000000001</v>
      </c>
      <c r="BV31" s="415">
        <f t="shared" si="20"/>
        <v>11248.640000000001</v>
      </c>
      <c r="BW31" s="415">
        <f t="shared" ref="BW31:CE37" si="126">IF($F31=BW$6,(($D31+$E31)/12),BV31)</f>
        <v>11248.640000000001</v>
      </c>
      <c r="BX31" s="415">
        <f t="shared" si="126"/>
        <v>11248.640000000001</v>
      </c>
      <c r="BY31" s="415">
        <f t="shared" si="126"/>
        <v>11248.640000000001</v>
      </c>
      <c r="BZ31" s="415">
        <f t="shared" si="126"/>
        <v>11248.640000000001</v>
      </c>
      <c r="CA31" s="415">
        <f t="shared" si="126"/>
        <v>11248.640000000001</v>
      </c>
      <c r="CB31" s="415">
        <f t="shared" si="126"/>
        <v>11248.640000000001</v>
      </c>
      <c r="CC31" s="415">
        <f t="shared" si="126"/>
        <v>11248.640000000001</v>
      </c>
      <c r="CD31" s="415">
        <f t="shared" si="126"/>
        <v>11248.640000000001</v>
      </c>
      <c r="CE31" s="415">
        <f t="shared" si="126"/>
        <v>11248.640000000001</v>
      </c>
      <c r="CF31" s="416">
        <f t="shared" si="21"/>
        <v>134983.68000000002</v>
      </c>
    </row>
    <row r="32" spans="1:84">
      <c r="A32" s="399"/>
      <c r="B32" s="412" t="s">
        <v>137</v>
      </c>
      <c r="C32" s="412" t="s">
        <v>601</v>
      </c>
      <c r="D32" s="413">
        <v>100000</v>
      </c>
      <c r="E32" s="413"/>
      <c r="F32" s="414" t="s">
        <v>312</v>
      </c>
      <c r="G32" s="415"/>
      <c r="H32" s="415"/>
      <c r="I32" s="415"/>
      <c r="J32" s="415"/>
      <c r="K32" s="415"/>
      <c r="L32" s="415"/>
      <c r="M32" s="415"/>
      <c r="N32" s="415"/>
      <c r="O32" s="415"/>
      <c r="P32" s="415"/>
      <c r="Q32" s="415"/>
      <c r="R32" s="415"/>
      <c r="S32" s="416"/>
      <c r="T32" s="415">
        <f t="shared" si="6"/>
        <v>0</v>
      </c>
      <c r="U32" s="415">
        <f t="shared" ref="U32:V32" si="127">IF($F32=U$6,(($D32+$E32)/12),T32)</f>
        <v>0</v>
      </c>
      <c r="V32" s="415">
        <f t="shared" si="127"/>
        <v>0</v>
      </c>
      <c r="W32" s="415">
        <f t="shared" si="122"/>
        <v>0</v>
      </c>
      <c r="X32" s="415">
        <f t="shared" si="122"/>
        <v>0</v>
      </c>
      <c r="Y32" s="415">
        <f t="shared" si="122"/>
        <v>0</v>
      </c>
      <c r="Z32" s="415">
        <f t="shared" si="122"/>
        <v>0</v>
      </c>
      <c r="AA32" s="415">
        <f t="shared" si="122"/>
        <v>0</v>
      </c>
      <c r="AB32" s="415">
        <f t="shared" si="122"/>
        <v>0</v>
      </c>
      <c r="AC32" s="415">
        <f t="shared" si="122"/>
        <v>0</v>
      </c>
      <c r="AD32" s="415">
        <f t="shared" si="122"/>
        <v>0</v>
      </c>
      <c r="AE32" s="415">
        <f t="shared" si="122"/>
        <v>0</v>
      </c>
      <c r="AF32" s="416">
        <f t="shared" si="9"/>
        <v>0</v>
      </c>
      <c r="AG32" s="415">
        <f t="shared" si="118"/>
        <v>0</v>
      </c>
      <c r="AH32" s="415">
        <f t="shared" ref="AH32:AI32" si="128">IF($F32=AH$6,(($D32+$E32)/12),AG32)</f>
        <v>0</v>
      </c>
      <c r="AI32" s="415">
        <f t="shared" si="128"/>
        <v>0</v>
      </c>
      <c r="AJ32" s="415">
        <f t="shared" si="123"/>
        <v>0</v>
      </c>
      <c r="AK32" s="415">
        <f t="shared" si="123"/>
        <v>0</v>
      </c>
      <c r="AL32" s="415">
        <f t="shared" si="123"/>
        <v>8333.3333333333339</v>
      </c>
      <c r="AM32" s="415">
        <f t="shared" si="123"/>
        <v>8333.3333333333339</v>
      </c>
      <c r="AN32" s="415">
        <f t="shared" si="123"/>
        <v>8333.3333333333339</v>
      </c>
      <c r="AO32" s="415">
        <f t="shared" si="123"/>
        <v>8333.3333333333339</v>
      </c>
      <c r="AP32" s="415">
        <f t="shared" si="123"/>
        <v>8333.3333333333339</v>
      </c>
      <c r="AQ32" s="415">
        <f t="shared" si="123"/>
        <v>8333.3333333333339</v>
      </c>
      <c r="AR32" s="415">
        <f t="shared" si="123"/>
        <v>8333.3333333333339</v>
      </c>
      <c r="AS32" s="416">
        <f t="shared" si="12"/>
        <v>58333.333333333343</v>
      </c>
      <c r="AT32" s="415">
        <f t="shared" si="119"/>
        <v>8666.6666666666679</v>
      </c>
      <c r="AU32" s="415">
        <f t="shared" ref="AU32:AV32" si="129">IF($F32=AU$6,(($D32+$E32)/12),AT32)</f>
        <v>8666.6666666666679</v>
      </c>
      <c r="AV32" s="415">
        <f t="shared" si="129"/>
        <v>8666.6666666666679</v>
      </c>
      <c r="AW32" s="415">
        <f t="shared" si="124"/>
        <v>8666.6666666666679</v>
      </c>
      <c r="AX32" s="415">
        <f t="shared" si="124"/>
        <v>8666.6666666666679</v>
      </c>
      <c r="AY32" s="415">
        <f t="shared" si="124"/>
        <v>8666.6666666666679</v>
      </c>
      <c r="AZ32" s="415">
        <f t="shared" si="124"/>
        <v>8666.6666666666679</v>
      </c>
      <c r="BA32" s="415">
        <f t="shared" si="124"/>
        <v>8666.6666666666679</v>
      </c>
      <c r="BB32" s="415">
        <f t="shared" si="124"/>
        <v>8666.6666666666679</v>
      </c>
      <c r="BC32" s="415">
        <f t="shared" si="124"/>
        <v>8666.6666666666679</v>
      </c>
      <c r="BD32" s="415">
        <f t="shared" si="124"/>
        <v>8666.6666666666679</v>
      </c>
      <c r="BE32" s="415">
        <f t="shared" si="124"/>
        <v>8666.6666666666679</v>
      </c>
      <c r="BF32" s="416">
        <f t="shared" si="15"/>
        <v>104000.00000000004</v>
      </c>
      <c r="BG32" s="415">
        <f t="shared" si="120"/>
        <v>9013.3333333333358</v>
      </c>
      <c r="BH32" s="415">
        <f t="shared" ref="BH32:BI37" si="130">IF($F32=BH$6,(($D32+$E32)/12),BG32)</f>
        <v>9013.3333333333358</v>
      </c>
      <c r="BI32" s="415">
        <f t="shared" si="130"/>
        <v>9013.3333333333358</v>
      </c>
      <c r="BJ32" s="415">
        <f t="shared" si="125"/>
        <v>9013.3333333333358</v>
      </c>
      <c r="BK32" s="415">
        <f t="shared" si="125"/>
        <v>9013.3333333333358</v>
      </c>
      <c r="BL32" s="415">
        <f t="shared" si="125"/>
        <v>9013.3333333333358</v>
      </c>
      <c r="BM32" s="415">
        <f t="shared" si="125"/>
        <v>9013.3333333333358</v>
      </c>
      <c r="BN32" s="415">
        <f t="shared" si="125"/>
        <v>9013.3333333333358</v>
      </c>
      <c r="BO32" s="415">
        <f t="shared" si="125"/>
        <v>9013.3333333333358</v>
      </c>
      <c r="BP32" s="415">
        <f t="shared" si="125"/>
        <v>9013.3333333333358</v>
      </c>
      <c r="BQ32" s="415">
        <f t="shared" si="125"/>
        <v>9013.3333333333358</v>
      </c>
      <c r="BR32" s="415">
        <f t="shared" si="125"/>
        <v>9013.3333333333358</v>
      </c>
      <c r="BS32" s="416">
        <f t="shared" si="18"/>
        <v>108160.00000000006</v>
      </c>
      <c r="BT32" s="415">
        <f t="shared" si="121"/>
        <v>9373.8666666666686</v>
      </c>
      <c r="BU32" s="415">
        <f t="shared" ref="BU32:BV37" si="131">IF($F32=BU$6,(($D32+$E32)/12),BT32)</f>
        <v>9373.8666666666686</v>
      </c>
      <c r="BV32" s="415">
        <f t="shared" si="131"/>
        <v>9373.8666666666686</v>
      </c>
      <c r="BW32" s="415">
        <f t="shared" si="126"/>
        <v>9373.8666666666686</v>
      </c>
      <c r="BX32" s="415">
        <f t="shared" si="126"/>
        <v>9373.8666666666686</v>
      </c>
      <c r="BY32" s="415">
        <f t="shared" si="126"/>
        <v>9373.8666666666686</v>
      </c>
      <c r="BZ32" s="415">
        <f t="shared" si="126"/>
        <v>9373.8666666666686</v>
      </c>
      <c r="CA32" s="415">
        <f t="shared" si="126"/>
        <v>9373.8666666666686</v>
      </c>
      <c r="CB32" s="415">
        <f t="shared" si="126"/>
        <v>9373.8666666666686</v>
      </c>
      <c r="CC32" s="415">
        <f t="shared" si="126"/>
        <v>9373.8666666666686</v>
      </c>
      <c r="CD32" s="415">
        <f t="shared" si="126"/>
        <v>9373.8666666666686</v>
      </c>
      <c r="CE32" s="415">
        <f t="shared" si="126"/>
        <v>9373.8666666666686</v>
      </c>
      <c r="CF32" s="416">
        <f t="shared" si="21"/>
        <v>112486.40000000002</v>
      </c>
    </row>
    <row r="33" spans="1:84">
      <c r="A33" s="399"/>
      <c r="B33" s="412" t="s">
        <v>137</v>
      </c>
      <c r="C33" s="412" t="s">
        <v>602</v>
      </c>
      <c r="D33" s="413">
        <v>55000</v>
      </c>
      <c r="E33" s="413"/>
      <c r="F33" s="414" t="s">
        <v>312</v>
      </c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  <c r="R33" s="415"/>
      <c r="S33" s="416"/>
      <c r="T33" s="415">
        <f t="shared" si="6"/>
        <v>0</v>
      </c>
      <c r="U33" s="415">
        <f t="shared" si="122"/>
        <v>0</v>
      </c>
      <c r="V33" s="415">
        <f t="shared" si="122"/>
        <v>0</v>
      </c>
      <c r="W33" s="415">
        <f t="shared" si="122"/>
        <v>0</v>
      </c>
      <c r="X33" s="415">
        <f t="shared" si="122"/>
        <v>0</v>
      </c>
      <c r="Y33" s="415">
        <f t="shared" si="122"/>
        <v>0</v>
      </c>
      <c r="Z33" s="415">
        <f t="shared" si="122"/>
        <v>0</v>
      </c>
      <c r="AA33" s="415">
        <f t="shared" si="122"/>
        <v>0</v>
      </c>
      <c r="AB33" s="415">
        <f t="shared" si="122"/>
        <v>0</v>
      </c>
      <c r="AC33" s="415">
        <f t="shared" si="122"/>
        <v>0</v>
      </c>
      <c r="AD33" s="415">
        <f t="shared" si="122"/>
        <v>0</v>
      </c>
      <c r="AE33" s="415">
        <f t="shared" si="122"/>
        <v>0</v>
      </c>
      <c r="AF33" s="416">
        <f t="shared" si="9"/>
        <v>0</v>
      </c>
      <c r="AG33" s="415">
        <f t="shared" si="118"/>
        <v>0</v>
      </c>
      <c r="AH33" s="415">
        <f t="shared" si="123"/>
        <v>0</v>
      </c>
      <c r="AI33" s="415">
        <f t="shared" si="123"/>
        <v>0</v>
      </c>
      <c r="AJ33" s="415">
        <f t="shared" si="123"/>
        <v>0</v>
      </c>
      <c r="AK33" s="415">
        <f t="shared" si="123"/>
        <v>0</v>
      </c>
      <c r="AL33" s="415">
        <f t="shared" si="123"/>
        <v>4583.333333333333</v>
      </c>
      <c r="AM33" s="415">
        <f t="shared" si="123"/>
        <v>4583.333333333333</v>
      </c>
      <c r="AN33" s="415">
        <f t="shared" si="123"/>
        <v>4583.333333333333</v>
      </c>
      <c r="AO33" s="415">
        <f t="shared" si="123"/>
        <v>4583.333333333333</v>
      </c>
      <c r="AP33" s="415">
        <f t="shared" si="123"/>
        <v>4583.333333333333</v>
      </c>
      <c r="AQ33" s="415">
        <f t="shared" si="123"/>
        <v>4583.333333333333</v>
      </c>
      <c r="AR33" s="415">
        <f t="shared" si="123"/>
        <v>4583.333333333333</v>
      </c>
      <c r="AS33" s="416">
        <f t="shared" si="12"/>
        <v>32083.333333333328</v>
      </c>
      <c r="AT33" s="415">
        <f t="shared" si="119"/>
        <v>4766.6666666666661</v>
      </c>
      <c r="AU33" s="415">
        <f t="shared" si="124"/>
        <v>4766.6666666666661</v>
      </c>
      <c r="AV33" s="415">
        <f t="shared" si="124"/>
        <v>4766.6666666666661</v>
      </c>
      <c r="AW33" s="415">
        <f t="shared" si="124"/>
        <v>4766.6666666666661</v>
      </c>
      <c r="AX33" s="415">
        <f t="shared" si="124"/>
        <v>4766.6666666666661</v>
      </c>
      <c r="AY33" s="415">
        <f t="shared" si="124"/>
        <v>4766.6666666666661</v>
      </c>
      <c r="AZ33" s="415">
        <f t="shared" si="124"/>
        <v>4766.6666666666661</v>
      </c>
      <c r="BA33" s="415">
        <f t="shared" si="124"/>
        <v>4766.6666666666661</v>
      </c>
      <c r="BB33" s="415">
        <f t="shared" si="124"/>
        <v>4766.6666666666661</v>
      </c>
      <c r="BC33" s="415">
        <f t="shared" si="124"/>
        <v>4766.6666666666661</v>
      </c>
      <c r="BD33" s="415">
        <f t="shared" si="124"/>
        <v>4766.6666666666661</v>
      </c>
      <c r="BE33" s="415">
        <f t="shared" si="124"/>
        <v>4766.6666666666661</v>
      </c>
      <c r="BF33" s="416">
        <f t="shared" si="15"/>
        <v>57199.999999999978</v>
      </c>
      <c r="BG33" s="415">
        <f t="shared" si="120"/>
        <v>4957.333333333333</v>
      </c>
      <c r="BH33" s="415">
        <f t="shared" si="130"/>
        <v>4957.333333333333</v>
      </c>
      <c r="BI33" s="415">
        <f t="shared" si="130"/>
        <v>4957.333333333333</v>
      </c>
      <c r="BJ33" s="415">
        <f t="shared" si="125"/>
        <v>4957.333333333333</v>
      </c>
      <c r="BK33" s="415">
        <f t="shared" si="125"/>
        <v>4957.333333333333</v>
      </c>
      <c r="BL33" s="415">
        <f t="shared" si="125"/>
        <v>4957.333333333333</v>
      </c>
      <c r="BM33" s="415">
        <f t="shared" si="125"/>
        <v>4957.333333333333</v>
      </c>
      <c r="BN33" s="415">
        <f t="shared" si="125"/>
        <v>4957.333333333333</v>
      </c>
      <c r="BO33" s="415">
        <f t="shared" si="125"/>
        <v>4957.333333333333</v>
      </c>
      <c r="BP33" s="415">
        <f t="shared" si="125"/>
        <v>4957.333333333333</v>
      </c>
      <c r="BQ33" s="415">
        <f t="shared" si="125"/>
        <v>4957.333333333333</v>
      </c>
      <c r="BR33" s="415">
        <f t="shared" si="125"/>
        <v>4957.333333333333</v>
      </c>
      <c r="BS33" s="416">
        <f t="shared" si="18"/>
        <v>59488.000000000007</v>
      </c>
      <c r="BT33" s="415">
        <f t="shared" si="121"/>
        <v>5155.6266666666661</v>
      </c>
      <c r="BU33" s="415">
        <f t="shared" si="131"/>
        <v>5155.6266666666661</v>
      </c>
      <c r="BV33" s="415">
        <f t="shared" si="131"/>
        <v>5155.6266666666661</v>
      </c>
      <c r="BW33" s="415">
        <f t="shared" si="126"/>
        <v>5155.6266666666661</v>
      </c>
      <c r="BX33" s="415">
        <f t="shared" si="126"/>
        <v>5155.6266666666661</v>
      </c>
      <c r="BY33" s="415">
        <f t="shared" si="126"/>
        <v>5155.6266666666661</v>
      </c>
      <c r="BZ33" s="415">
        <f t="shared" si="126"/>
        <v>5155.6266666666661</v>
      </c>
      <c r="CA33" s="415">
        <f t="shared" si="126"/>
        <v>5155.6266666666661</v>
      </c>
      <c r="CB33" s="415">
        <f t="shared" si="126"/>
        <v>5155.6266666666661</v>
      </c>
      <c r="CC33" s="415">
        <f t="shared" si="126"/>
        <v>5155.6266666666661</v>
      </c>
      <c r="CD33" s="415">
        <f t="shared" si="126"/>
        <v>5155.6266666666661</v>
      </c>
      <c r="CE33" s="415">
        <f t="shared" si="126"/>
        <v>5155.6266666666661</v>
      </c>
      <c r="CF33" s="416">
        <f t="shared" si="21"/>
        <v>61867.519999999982</v>
      </c>
    </row>
    <row r="34" spans="1:84">
      <c r="A34" s="399"/>
      <c r="B34" s="412" t="s">
        <v>137</v>
      </c>
      <c r="C34" s="412" t="s">
        <v>602</v>
      </c>
      <c r="D34" s="413">
        <v>55000</v>
      </c>
      <c r="E34" s="413"/>
      <c r="F34" s="414" t="s">
        <v>319</v>
      </c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415"/>
      <c r="S34" s="416"/>
      <c r="T34" s="415">
        <f t="shared" si="6"/>
        <v>0</v>
      </c>
      <c r="U34" s="415">
        <f t="shared" si="122"/>
        <v>0</v>
      </c>
      <c r="V34" s="415">
        <f t="shared" si="122"/>
        <v>0</v>
      </c>
      <c r="W34" s="415">
        <f t="shared" si="122"/>
        <v>0</v>
      </c>
      <c r="X34" s="415">
        <f t="shared" si="122"/>
        <v>0</v>
      </c>
      <c r="Y34" s="415">
        <f t="shared" si="122"/>
        <v>0</v>
      </c>
      <c r="Z34" s="415">
        <f t="shared" si="122"/>
        <v>0</v>
      </c>
      <c r="AA34" s="415">
        <f t="shared" si="122"/>
        <v>0</v>
      </c>
      <c r="AB34" s="415">
        <f t="shared" si="122"/>
        <v>0</v>
      </c>
      <c r="AC34" s="415">
        <f t="shared" si="122"/>
        <v>0</v>
      </c>
      <c r="AD34" s="415">
        <f t="shared" si="122"/>
        <v>0</v>
      </c>
      <c r="AE34" s="415">
        <f t="shared" si="122"/>
        <v>0</v>
      </c>
      <c r="AF34" s="416">
        <f t="shared" si="9"/>
        <v>0</v>
      </c>
      <c r="AG34" s="415">
        <f t="shared" si="118"/>
        <v>0</v>
      </c>
      <c r="AH34" s="415">
        <f t="shared" si="123"/>
        <v>0</v>
      </c>
      <c r="AI34" s="415">
        <f t="shared" si="123"/>
        <v>0</v>
      </c>
      <c r="AJ34" s="415">
        <f t="shared" si="123"/>
        <v>0</v>
      </c>
      <c r="AK34" s="415">
        <f t="shared" si="123"/>
        <v>0</v>
      </c>
      <c r="AL34" s="415">
        <f t="shared" si="123"/>
        <v>0</v>
      </c>
      <c r="AM34" s="415">
        <f t="shared" si="123"/>
        <v>0</v>
      </c>
      <c r="AN34" s="415">
        <f t="shared" si="123"/>
        <v>0</v>
      </c>
      <c r="AO34" s="415">
        <f t="shared" si="123"/>
        <v>0</v>
      </c>
      <c r="AP34" s="415">
        <f t="shared" si="123"/>
        <v>0</v>
      </c>
      <c r="AQ34" s="415">
        <f t="shared" si="123"/>
        <v>0</v>
      </c>
      <c r="AR34" s="415">
        <f t="shared" si="123"/>
        <v>0</v>
      </c>
      <c r="AS34" s="416">
        <f t="shared" si="12"/>
        <v>0</v>
      </c>
      <c r="AT34" s="415">
        <f t="shared" si="119"/>
        <v>4583.333333333333</v>
      </c>
      <c r="AU34" s="415">
        <f t="shared" si="124"/>
        <v>4583.333333333333</v>
      </c>
      <c r="AV34" s="415">
        <f t="shared" si="124"/>
        <v>4583.333333333333</v>
      </c>
      <c r="AW34" s="415">
        <f t="shared" si="124"/>
        <v>4583.333333333333</v>
      </c>
      <c r="AX34" s="415">
        <f t="shared" si="124"/>
        <v>4583.333333333333</v>
      </c>
      <c r="AY34" s="415">
        <f t="shared" si="124"/>
        <v>4583.333333333333</v>
      </c>
      <c r="AZ34" s="415">
        <f t="shared" si="124"/>
        <v>4583.333333333333</v>
      </c>
      <c r="BA34" s="415">
        <f t="shared" si="124"/>
        <v>4583.333333333333</v>
      </c>
      <c r="BB34" s="415">
        <f t="shared" si="124"/>
        <v>4583.333333333333</v>
      </c>
      <c r="BC34" s="415">
        <f t="shared" si="124"/>
        <v>4583.333333333333</v>
      </c>
      <c r="BD34" s="415">
        <f t="shared" si="124"/>
        <v>4583.333333333333</v>
      </c>
      <c r="BE34" s="415">
        <f t="shared" si="124"/>
        <v>4583.333333333333</v>
      </c>
      <c r="BF34" s="416">
        <f t="shared" si="15"/>
        <v>55000.000000000007</v>
      </c>
      <c r="BG34" s="415">
        <f t="shared" si="120"/>
        <v>4766.6666666666661</v>
      </c>
      <c r="BH34" s="415">
        <f t="shared" si="130"/>
        <v>4766.6666666666661</v>
      </c>
      <c r="BI34" s="415">
        <f t="shared" si="130"/>
        <v>4766.6666666666661</v>
      </c>
      <c r="BJ34" s="415">
        <f t="shared" si="125"/>
        <v>4766.6666666666661</v>
      </c>
      <c r="BK34" s="415">
        <f t="shared" si="125"/>
        <v>4766.6666666666661</v>
      </c>
      <c r="BL34" s="415">
        <f t="shared" si="125"/>
        <v>4766.6666666666661</v>
      </c>
      <c r="BM34" s="415">
        <f t="shared" si="125"/>
        <v>4766.6666666666661</v>
      </c>
      <c r="BN34" s="415">
        <f t="shared" si="125"/>
        <v>4766.6666666666661</v>
      </c>
      <c r="BO34" s="415">
        <f t="shared" si="125"/>
        <v>4766.6666666666661</v>
      </c>
      <c r="BP34" s="415">
        <f t="shared" si="125"/>
        <v>4766.6666666666661</v>
      </c>
      <c r="BQ34" s="415">
        <f t="shared" si="125"/>
        <v>4766.6666666666661</v>
      </c>
      <c r="BR34" s="415">
        <f t="shared" si="125"/>
        <v>4766.6666666666661</v>
      </c>
      <c r="BS34" s="416">
        <f t="shared" si="18"/>
        <v>57199.999999999978</v>
      </c>
      <c r="BT34" s="415">
        <f t="shared" si="121"/>
        <v>4957.333333333333</v>
      </c>
      <c r="BU34" s="415">
        <f t="shared" si="131"/>
        <v>4957.333333333333</v>
      </c>
      <c r="BV34" s="415">
        <f t="shared" si="131"/>
        <v>4957.333333333333</v>
      </c>
      <c r="BW34" s="415">
        <f t="shared" si="126"/>
        <v>4957.333333333333</v>
      </c>
      <c r="BX34" s="415">
        <f t="shared" si="126"/>
        <v>4957.333333333333</v>
      </c>
      <c r="BY34" s="415">
        <f t="shared" si="126"/>
        <v>4957.333333333333</v>
      </c>
      <c r="BZ34" s="415">
        <f t="shared" si="126"/>
        <v>4957.333333333333</v>
      </c>
      <c r="CA34" s="415">
        <f t="shared" si="126"/>
        <v>4957.333333333333</v>
      </c>
      <c r="CB34" s="415">
        <f t="shared" si="126"/>
        <v>4957.333333333333</v>
      </c>
      <c r="CC34" s="415">
        <f t="shared" si="126"/>
        <v>4957.333333333333</v>
      </c>
      <c r="CD34" s="415">
        <f t="shared" si="126"/>
        <v>4957.333333333333</v>
      </c>
      <c r="CE34" s="415">
        <f t="shared" si="126"/>
        <v>4957.333333333333</v>
      </c>
      <c r="CF34" s="416">
        <f t="shared" si="21"/>
        <v>59488.000000000007</v>
      </c>
    </row>
    <row r="35" spans="1:84">
      <c r="A35" s="399"/>
      <c r="B35" s="412" t="s">
        <v>137</v>
      </c>
      <c r="C35" s="412" t="s">
        <v>603</v>
      </c>
      <c r="D35" s="413">
        <v>120000</v>
      </c>
      <c r="E35" s="413"/>
      <c r="F35" s="414" t="s">
        <v>312</v>
      </c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6"/>
      <c r="T35" s="415">
        <f t="shared" si="6"/>
        <v>0</v>
      </c>
      <c r="U35" s="415">
        <f t="shared" si="122"/>
        <v>0</v>
      </c>
      <c r="V35" s="415">
        <f t="shared" si="122"/>
        <v>0</v>
      </c>
      <c r="W35" s="415">
        <f t="shared" si="122"/>
        <v>0</v>
      </c>
      <c r="X35" s="415">
        <f t="shared" si="122"/>
        <v>0</v>
      </c>
      <c r="Y35" s="415">
        <f t="shared" si="122"/>
        <v>0</v>
      </c>
      <c r="Z35" s="415">
        <f t="shared" si="122"/>
        <v>0</v>
      </c>
      <c r="AA35" s="415">
        <f t="shared" si="122"/>
        <v>0</v>
      </c>
      <c r="AB35" s="415">
        <f t="shared" si="122"/>
        <v>0</v>
      </c>
      <c r="AC35" s="415">
        <f t="shared" si="122"/>
        <v>0</v>
      </c>
      <c r="AD35" s="415">
        <f t="shared" si="122"/>
        <v>0</v>
      </c>
      <c r="AE35" s="415">
        <f t="shared" si="122"/>
        <v>0</v>
      </c>
      <c r="AF35" s="416">
        <f t="shared" si="9"/>
        <v>0</v>
      </c>
      <c r="AG35" s="415">
        <f t="shared" si="118"/>
        <v>0</v>
      </c>
      <c r="AH35" s="415">
        <f t="shared" si="123"/>
        <v>0</v>
      </c>
      <c r="AI35" s="415">
        <f t="shared" si="123"/>
        <v>0</v>
      </c>
      <c r="AJ35" s="415">
        <f t="shared" si="123"/>
        <v>0</v>
      </c>
      <c r="AK35" s="415">
        <f t="shared" si="123"/>
        <v>0</v>
      </c>
      <c r="AL35" s="415">
        <f t="shared" si="123"/>
        <v>10000</v>
      </c>
      <c r="AM35" s="415">
        <f t="shared" si="123"/>
        <v>10000</v>
      </c>
      <c r="AN35" s="415">
        <f t="shared" si="123"/>
        <v>10000</v>
      </c>
      <c r="AO35" s="415">
        <f t="shared" si="123"/>
        <v>10000</v>
      </c>
      <c r="AP35" s="415">
        <f t="shared" si="123"/>
        <v>10000</v>
      </c>
      <c r="AQ35" s="415">
        <f t="shared" si="123"/>
        <v>10000</v>
      </c>
      <c r="AR35" s="415">
        <f t="shared" si="123"/>
        <v>10000</v>
      </c>
      <c r="AS35" s="416">
        <f t="shared" si="12"/>
        <v>70000</v>
      </c>
      <c r="AT35" s="415">
        <f t="shared" si="119"/>
        <v>10400</v>
      </c>
      <c r="AU35" s="415">
        <f t="shared" si="124"/>
        <v>10400</v>
      </c>
      <c r="AV35" s="415">
        <f t="shared" si="124"/>
        <v>10400</v>
      </c>
      <c r="AW35" s="415">
        <f t="shared" si="124"/>
        <v>10400</v>
      </c>
      <c r="AX35" s="415">
        <f t="shared" si="124"/>
        <v>10400</v>
      </c>
      <c r="AY35" s="415">
        <f t="shared" si="124"/>
        <v>10400</v>
      </c>
      <c r="AZ35" s="415">
        <f t="shared" si="124"/>
        <v>10400</v>
      </c>
      <c r="BA35" s="415">
        <f t="shared" si="124"/>
        <v>10400</v>
      </c>
      <c r="BB35" s="415">
        <f t="shared" si="124"/>
        <v>10400</v>
      </c>
      <c r="BC35" s="415">
        <f t="shared" si="124"/>
        <v>10400</v>
      </c>
      <c r="BD35" s="415">
        <f t="shared" si="124"/>
        <v>10400</v>
      </c>
      <c r="BE35" s="415">
        <f t="shared" si="124"/>
        <v>10400</v>
      </c>
      <c r="BF35" s="416">
        <f t="shared" si="15"/>
        <v>124800</v>
      </c>
      <c r="BG35" s="415">
        <f t="shared" si="120"/>
        <v>10816</v>
      </c>
      <c r="BH35" s="415">
        <f t="shared" si="130"/>
        <v>10816</v>
      </c>
      <c r="BI35" s="415">
        <f t="shared" si="130"/>
        <v>10816</v>
      </c>
      <c r="BJ35" s="415">
        <f t="shared" si="125"/>
        <v>10816</v>
      </c>
      <c r="BK35" s="415">
        <f t="shared" si="125"/>
        <v>10816</v>
      </c>
      <c r="BL35" s="415">
        <f t="shared" si="125"/>
        <v>10816</v>
      </c>
      <c r="BM35" s="415">
        <f t="shared" si="125"/>
        <v>10816</v>
      </c>
      <c r="BN35" s="415">
        <f t="shared" si="125"/>
        <v>10816</v>
      </c>
      <c r="BO35" s="415">
        <f t="shared" si="125"/>
        <v>10816</v>
      </c>
      <c r="BP35" s="415">
        <f t="shared" si="125"/>
        <v>10816</v>
      </c>
      <c r="BQ35" s="415">
        <f t="shared" si="125"/>
        <v>10816</v>
      </c>
      <c r="BR35" s="415">
        <f t="shared" si="125"/>
        <v>10816</v>
      </c>
      <c r="BS35" s="416">
        <f t="shared" si="18"/>
        <v>129792</v>
      </c>
      <c r="BT35" s="415">
        <f t="shared" si="121"/>
        <v>11248.640000000001</v>
      </c>
      <c r="BU35" s="415">
        <f t="shared" si="131"/>
        <v>11248.640000000001</v>
      </c>
      <c r="BV35" s="415">
        <f t="shared" si="131"/>
        <v>11248.640000000001</v>
      </c>
      <c r="BW35" s="415">
        <f t="shared" si="126"/>
        <v>11248.640000000001</v>
      </c>
      <c r="BX35" s="415">
        <f t="shared" si="126"/>
        <v>11248.640000000001</v>
      </c>
      <c r="BY35" s="415">
        <f t="shared" si="126"/>
        <v>11248.640000000001</v>
      </c>
      <c r="BZ35" s="415">
        <f t="shared" si="126"/>
        <v>11248.640000000001</v>
      </c>
      <c r="CA35" s="415">
        <f t="shared" si="126"/>
        <v>11248.640000000001</v>
      </c>
      <c r="CB35" s="415">
        <f t="shared" si="126"/>
        <v>11248.640000000001</v>
      </c>
      <c r="CC35" s="415">
        <f t="shared" si="126"/>
        <v>11248.640000000001</v>
      </c>
      <c r="CD35" s="415">
        <f t="shared" si="126"/>
        <v>11248.640000000001</v>
      </c>
      <c r="CE35" s="415">
        <f t="shared" si="126"/>
        <v>11248.640000000001</v>
      </c>
      <c r="CF35" s="416">
        <f t="shared" si="21"/>
        <v>134983.68000000002</v>
      </c>
    </row>
    <row r="36" spans="1:84">
      <c r="A36" s="399"/>
      <c r="B36" s="412" t="s">
        <v>137</v>
      </c>
      <c r="C36" s="412" t="s">
        <v>604</v>
      </c>
      <c r="D36" s="413">
        <v>80000</v>
      </c>
      <c r="E36" s="413"/>
      <c r="F36" s="414" t="s">
        <v>319</v>
      </c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6"/>
      <c r="T36" s="415">
        <f t="shared" si="6"/>
        <v>0</v>
      </c>
      <c r="U36" s="415">
        <f t="shared" si="122"/>
        <v>0</v>
      </c>
      <c r="V36" s="415">
        <f t="shared" si="122"/>
        <v>0</v>
      </c>
      <c r="W36" s="415">
        <f t="shared" si="122"/>
        <v>0</v>
      </c>
      <c r="X36" s="415">
        <f t="shared" si="122"/>
        <v>0</v>
      </c>
      <c r="Y36" s="415">
        <f t="shared" si="122"/>
        <v>0</v>
      </c>
      <c r="Z36" s="415">
        <f t="shared" si="122"/>
        <v>0</v>
      </c>
      <c r="AA36" s="415">
        <f t="shared" si="122"/>
        <v>0</v>
      </c>
      <c r="AB36" s="415">
        <f t="shared" si="122"/>
        <v>0</v>
      </c>
      <c r="AC36" s="415">
        <f t="shared" si="122"/>
        <v>0</v>
      </c>
      <c r="AD36" s="415">
        <f t="shared" si="122"/>
        <v>0</v>
      </c>
      <c r="AE36" s="415">
        <f t="shared" si="122"/>
        <v>0</v>
      </c>
      <c r="AF36" s="416">
        <f t="shared" si="9"/>
        <v>0</v>
      </c>
      <c r="AG36" s="415">
        <f t="shared" si="118"/>
        <v>0</v>
      </c>
      <c r="AH36" s="415">
        <f t="shared" si="123"/>
        <v>0</v>
      </c>
      <c r="AI36" s="415">
        <f t="shared" si="123"/>
        <v>0</v>
      </c>
      <c r="AJ36" s="415">
        <f t="shared" si="123"/>
        <v>0</v>
      </c>
      <c r="AK36" s="415">
        <f t="shared" si="123"/>
        <v>0</v>
      </c>
      <c r="AL36" s="415">
        <f t="shared" si="123"/>
        <v>0</v>
      </c>
      <c r="AM36" s="415">
        <f t="shared" si="123"/>
        <v>0</v>
      </c>
      <c r="AN36" s="415">
        <f t="shared" si="123"/>
        <v>0</v>
      </c>
      <c r="AO36" s="415">
        <f t="shared" si="123"/>
        <v>0</v>
      </c>
      <c r="AP36" s="415">
        <f t="shared" si="123"/>
        <v>0</v>
      </c>
      <c r="AQ36" s="415">
        <f t="shared" si="123"/>
        <v>0</v>
      </c>
      <c r="AR36" s="415">
        <f t="shared" si="123"/>
        <v>0</v>
      </c>
      <c r="AS36" s="416">
        <f t="shared" si="12"/>
        <v>0</v>
      </c>
      <c r="AT36" s="415">
        <f t="shared" si="119"/>
        <v>6666.666666666667</v>
      </c>
      <c r="AU36" s="415">
        <f t="shared" si="124"/>
        <v>6666.666666666667</v>
      </c>
      <c r="AV36" s="415">
        <f t="shared" si="124"/>
        <v>6666.666666666667</v>
      </c>
      <c r="AW36" s="415">
        <f t="shared" si="124"/>
        <v>6666.666666666667</v>
      </c>
      <c r="AX36" s="415">
        <f t="shared" si="124"/>
        <v>6666.666666666667</v>
      </c>
      <c r="AY36" s="415">
        <f t="shared" si="124"/>
        <v>6666.666666666667</v>
      </c>
      <c r="AZ36" s="415">
        <f t="shared" si="124"/>
        <v>6666.666666666667</v>
      </c>
      <c r="BA36" s="415">
        <f t="shared" si="124"/>
        <v>6666.666666666667</v>
      </c>
      <c r="BB36" s="415">
        <f t="shared" si="124"/>
        <v>6666.666666666667</v>
      </c>
      <c r="BC36" s="415">
        <f t="shared" si="124"/>
        <v>6666.666666666667</v>
      </c>
      <c r="BD36" s="415">
        <f t="shared" si="124"/>
        <v>6666.666666666667</v>
      </c>
      <c r="BE36" s="415">
        <f t="shared" si="124"/>
        <v>6666.666666666667</v>
      </c>
      <c r="BF36" s="416">
        <f t="shared" si="15"/>
        <v>80000</v>
      </c>
      <c r="BG36" s="415">
        <f t="shared" si="120"/>
        <v>6933.3333333333339</v>
      </c>
      <c r="BH36" s="415">
        <f t="shared" si="130"/>
        <v>6933.3333333333339</v>
      </c>
      <c r="BI36" s="415">
        <f t="shared" si="130"/>
        <v>6933.3333333333339</v>
      </c>
      <c r="BJ36" s="415">
        <f t="shared" si="125"/>
        <v>6933.3333333333339</v>
      </c>
      <c r="BK36" s="415">
        <f t="shared" si="125"/>
        <v>6933.3333333333339</v>
      </c>
      <c r="BL36" s="415">
        <f t="shared" si="125"/>
        <v>6933.3333333333339</v>
      </c>
      <c r="BM36" s="415">
        <f t="shared" si="125"/>
        <v>6933.3333333333339</v>
      </c>
      <c r="BN36" s="415">
        <f t="shared" si="125"/>
        <v>6933.3333333333339</v>
      </c>
      <c r="BO36" s="415">
        <f t="shared" si="125"/>
        <v>6933.3333333333339</v>
      </c>
      <c r="BP36" s="415">
        <f t="shared" si="125"/>
        <v>6933.3333333333339</v>
      </c>
      <c r="BQ36" s="415">
        <f t="shared" si="125"/>
        <v>6933.3333333333339</v>
      </c>
      <c r="BR36" s="415">
        <f t="shared" si="125"/>
        <v>6933.3333333333339</v>
      </c>
      <c r="BS36" s="416">
        <f t="shared" si="18"/>
        <v>83200</v>
      </c>
      <c r="BT36" s="415">
        <f t="shared" si="121"/>
        <v>7210.6666666666679</v>
      </c>
      <c r="BU36" s="415">
        <f t="shared" si="131"/>
        <v>7210.6666666666679</v>
      </c>
      <c r="BV36" s="415">
        <f t="shared" si="131"/>
        <v>7210.6666666666679</v>
      </c>
      <c r="BW36" s="415">
        <f t="shared" si="126"/>
        <v>7210.6666666666679</v>
      </c>
      <c r="BX36" s="415">
        <f t="shared" si="126"/>
        <v>7210.6666666666679</v>
      </c>
      <c r="BY36" s="415">
        <f t="shared" si="126"/>
        <v>7210.6666666666679</v>
      </c>
      <c r="BZ36" s="415">
        <f t="shared" si="126"/>
        <v>7210.6666666666679</v>
      </c>
      <c r="CA36" s="415">
        <f t="shared" si="126"/>
        <v>7210.6666666666679</v>
      </c>
      <c r="CB36" s="415">
        <f t="shared" si="126"/>
        <v>7210.6666666666679</v>
      </c>
      <c r="CC36" s="415">
        <f t="shared" si="126"/>
        <v>7210.6666666666679</v>
      </c>
      <c r="CD36" s="415">
        <f t="shared" si="126"/>
        <v>7210.6666666666679</v>
      </c>
      <c r="CE36" s="415">
        <f t="shared" si="126"/>
        <v>7210.6666666666679</v>
      </c>
      <c r="CF36" s="416">
        <f t="shared" si="21"/>
        <v>86528.000000000044</v>
      </c>
    </row>
    <row r="37" spans="1:84">
      <c r="A37" s="399"/>
      <c r="B37" s="412" t="s">
        <v>137</v>
      </c>
      <c r="C37" s="412" t="s">
        <v>604</v>
      </c>
      <c r="D37" s="413">
        <v>80000</v>
      </c>
      <c r="E37" s="413"/>
      <c r="F37" s="414" t="s">
        <v>319</v>
      </c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6"/>
      <c r="T37" s="415">
        <f t="shared" si="6"/>
        <v>0</v>
      </c>
      <c r="U37" s="415">
        <f t="shared" si="122"/>
        <v>0</v>
      </c>
      <c r="V37" s="415">
        <f t="shared" si="122"/>
        <v>0</v>
      </c>
      <c r="W37" s="415">
        <f t="shared" si="122"/>
        <v>0</v>
      </c>
      <c r="X37" s="415">
        <f t="shared" si="122"/>
        <v>0</v>
      </c>
      <c r="Y37" s="415">
        <f t="shared" si="122"/>
        <v>0</v>
      </c>
      <c r="Z37" s="415">
        <f t="shared" si="122"/>
        <v>0</v>
      </c>
      <c r="AA37" s="415">
        <f t="shared" si="122"/>
        <v>0</v>
      </c>
      <c r="AB37" s="415">
        <f t="shared" si="122"/>
        <v>0</v>
      </c>
      <c r="AC37" s="415">
        <f t="shared" si="122"/>
        <v>0</v>
      </c>
      <c r="AD37" s="415">
        <f t="shared" si="122"/>
        <v>0</v>
      </c>
      <c r="AE37" s="415">
        <f t="shared" si="122"/>
        <v>0</v>
      </c>
      <c r="AF37" s="416">
        <f t="shared" si="9"/>
        <v>0</v>
      </c>
      <c r="AG37" s="415">
        <f t="shared" si="118"/>
        <v>0</v>
      </c>
      <c r="AH37" s="415">
        <f t="shared" si="123"/>
        <v>0</v>
      </c>
      <c r="AI37" s="415">
        <f t="shared" si="123"/>
        <v>0</v>
      </c>
      <c r="AJ37" s="415">
        <f t="shared" si="123"/>
        <v>0</v>
      </c>
      <c r="AK37" s="415">
        <f t="shared" si="123"/>
        <v>0</v>
      </c>
      <c r="AL37" s="415">
        <f t="shared" si="123"/>
        <v>0</v>
      </c>
      <c r="AM37" s="415">
        <f t="shared" si="123"/>
        <v>0</v>
      </c>
      <c r="AN37" s="415">
        <f t="shared" si="123"/>
        <v>0</v>
      </c>
      <c r="AO37" s="415">
        <f t="shared" si="123"/>
        <v>0</v>
      </c>
      <c r="AP37" s="415">
        <f t="shared" si="123"/>
        <v>0</v>
      </c>
      <c r="AQ37" s="415">
        <f t="shared" si="123"/>
        <v>0</v>
      </c>
      <c r="AR37" s="415">
        <f t="shared" si="123"/>
        <v>0</v>
      </c>
      <c r="AS37" s="416">
        <f t="shared" si="12"/>
        <v>0</v>
      </c>
      <c r="AT37" s="415">
        <f t="shared" si="119"/>
        <v>6666.666666666667</v>
      </c>
      <c r="AU37" s="415">
        <f t="shared" si="124"/>
        <v>6666.666666666667</v>
      </c>
      <c r="AV37" s="415">
        <f t="shared" si="124"/>
        <v>6666.666666666667</v>
      </c>
      <c r="AW37" s="415">
        <f t="shared" si="124"/>
        <v>6666.666666666667</v>
      </c>
      <c r="AX37" s="415">
        <f t="shared" si="124"/>
        <v>6666.666666666667</v>
      </c>
      <c r="AY37" s="415">
        <f t="shared" si="124"/>
        <v>6666.666666666667</v>
      </c>
      <c r="AZ37" s="415">
        <f t="shared" si="124"/>
        <v>6666.666666666667</v>
      </c>
      <c r="BA37" s="415">
        <f t="shared" si="124"/>
        <v>6666.666666666667</v>
      </c>
      <c r="BB37" s="415">
        <f t="shared" si="124"/>
        <v>6666.666666666667</v>
      </c>
      <c r="BC37" s="415">
        <f t="shared" si="124"/>
        <v>6666.666666666667</v>
      </c>
      <c r="BD37" s="415">
        <f t="shared" si="124"/>
        <v>6666.666666666667</v>
      </c>
      <c r="BE37" s="415">
        <f t="shared" si="124"/>
        <v>6666.666666666667</v>
      </c>
      <c r="BF37" s="416">
        <f t="shared" si="15"/>
        <v>80000</v>
      </c>
      <c r="BG37" s="415">
        <f t="shared" si="120"/>
        <v>6933.3333333333339</v>
      </c>
      <c r="BH37" s="415">
        <f t="shared" si="130"/>
        <v>6933.3333333333339</v>
      </c>
      <c r="BI37" s="415">
        <f t="shared" si="130"/>
        <v>6933.3333333333339</v>
      </c>
      <c r="BJ37" s="415">
        <f t="shared" si="125"/>
        <v>6933.3333333333339</v>
      </c>
      <c r="BK37" s="415">
        <f t="shared" si="125"/>
        <v>6933.3333333333339</v>
      </c>
      <c r="BL37" s="415">
        <f t="shared" si="125"/>
        <v>6933.3333333333339</v>
      </c>
      <c r="BM37" s="415">
        <f t="shared" si="125"/>
        <v>6933.3333333333339</v>
      </c>
      <c r="BN37" s="415">
        <f t="shared" si="125"/>
        <v>6933.3333333333339</v>
      </c>
      <c r="BO37" s="415">
        <f t="shared" si="125"/>
        <v>6933.3333333333339</v>
      </c>
      <c r="BP37" s="415">
        <f t="shared" si="125"/>
        <v>6933.3333333333339</v>
      </c>
      <c r="BQ37" s="415">
        <f t="shared" si="125"/>
        <v>6933.3333333333339</v>
      </c>
      <c r="BR37" s="415">
        <f t="shared" si="125"/>
        <v>6933.3333333333339</v>
      </c>
      <c r="BS37" s="416">
        <f t="shared" si="18"/>
        <v>83200</v>
      </c>
      <c r="BT37" s="415">
        <f t="shared" si="121"/>
        <v>7210.6666666666679</v>
      </c>
      <c r="BU37" s="415">
        <f t="shared" si="131"/>
        <v>7210.6666666666679</v>
      </c>
      <c r="BV37" s="415">
        <f t="shared" si="131"/>
        <v>7210.6666666666679</v>
      </c>
      <c r="BW37" s="415">
        <f t="shared" si="126"/>
        <v>7210.6666666666679</v>
      </c>
      <c r="BX37" s="415">
        <f t="shared" si="126"/>
        <v>7210.6666666666679</v>
      </c>
      <c r="BY37" s="415">
        <f t="shared" si="126"/>
        <v>7210.6666666666679</v>
      </c>
      <c r="BZ37" s="415">
        <f t="shared" si="126"/>
        <v>7210.6666666666679</v>
      </c>
      <c r="CA37" s="415">
        <f t="shared" si="126"/>
        <v>7210.6666666666679</v>
      </c>
      <c r="CB37" s="415">
        <f t="shared" si="126"/>
        <v>7210.6666666666679</v>
      </c>
      <c r="CC37" s="415">
        <f t="shared" si="126"/>
        <v>7210.6666666666679</v>
      </c>
      <c r="CD37" s="415">
        <f t="shared" si="126"/>
        <v>7210.6666666666679</v>
      </c>
      <c r="CE37" s="415">
        <f t="shared" si="126"/>
        <v>7210.6666666666679</v>
      </c>
      <c r="CF37" s="416">
        <f t="shared" si="21"/>
        <v>86528.000000000044</v>
      </c>
    </row>
    <row r="38" spans="1:84" ht="12" customHeight="1">
      <c r="A38" s="408" t="s">
        <v>605</v>
      </c>
      <c r="B38" s="408"/>
      <c r="C38" s="417"/>
      <c r="D38" s="418"/>
      <c r="E38" s="413"/>
      <c r="F38" s="414"/>
      <c r="G38" s="415"/>
      <c r="H38" s="415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6"/>
      <c r="T38" s="415"/>
      <c r="U38" s="415"/>
      <c r="V38" s="415"/>
      <c r="W38" s="415"/>
      <c r="X38" s="415"/>
      <c r="Y38" s="415"/>
      <c r="Z38" s="415"/>
      <c r="AA38" s="415"/>
      <c r="AB38" s="415"/>
      <c r="AC38" s="415"/>
      <c r="AD38" s="415"/>
      <c r="AE38" s="415"/>
      <c r="AF38" s="416"/>
      <c r="AG38" s="415"/>
      <c r="AH38" s="415"/>
      <c r="AI38" s="415"/>
      <c r="AJ38" s="415"/>
      <c r="AK38" s="415"/>
      <c r="AL38" s="415"/>
      <c r="AM38" s="415"/>
      <c r="AN38" s="415"/>
      <c r="AO38" s="415"/>
      <c r="AP38" s="415"/>
      <c r="AQ38" s="415"/>
      <c r="AR38" s="415"/>
      <c r="AS38" s="416"/>
      <c r="AT38" s="415"/>
      <c r="AU38" s="415"/>
      <c r="AV38" s="415"/>
      <c r="AW38" s="415"/>
      <c r="AX38" s="415"/>
      <c r="AY38" s="415"/>
      <c r="AZ38" s="415"/>
      <c r="BA38" s="415"/>
      <c r="BB38" s="415"/>
      <c r="BC38" s="415"/>
      <c r="BD38" s="415"/>
      <c r="BE38" s="415"/>
      <c r="BF38" s="416"/>
      <c r="BG38" s="415"/>
      <c r="BH38" s="415"/>
      <c r="BI38" s="415"/>
      <c r="BJ38" s="415"/>
      <c r="BK38" s="415"/>
      <c r="BL38" s="415"/>
      <c r="BM38" s="415"/>
      <c r="BN38" s="415"/>
      <c r="BO38" s="415"/>
      <c r="BP38" s="415"/>
      <c r="BQ38" s="415"/>
      <c r="BR38" s="415"/>
      <c r="BS38" s="416"/>
      <c r="BT38" s="415"/>
      <c r="BU38" s="415"/>
      <c r="BV38" s="415"/>
      <c r="BW38" s="415"/>
      <c r="BX38" s="415"/>
      <c r="BY38" s="415"/>
      <c r="BZ38" s="415"/>
      <c r="CA38" s="415"/>
      <c r="CB38" s="415"/>
      <c r="CC38" s="415"/>
      <c r="CD38" s="415"/>
      <c r="CE38" s="415"/>
      <c r="CF38" s="416"/>
    </row>
    <row r="39" spans="1:84" ht="15">
      <c r="A39" s="419"/>
      <c r="B39" s="412" t="s">
        <v>137</v>
      </c>
      <c r="C39" s="412" t="s">
        <v>606</v>
      </c>
      <c r="D39" s="413">
        <v>150000</v>
      </c>
      <c r="E39" s="413"/>
      <c r="F39" s="414" t="s">
        <v>319</v>
      </c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6"/>
      <c r="T39" s="415">
        <f t="shared" ref="T39:T41" si="132">IF($F39=T$6,(($D39+$E39)*(1+$T$8))/12,R39*(1+T$8))</f>
        <v>0</v>
      </c>
      <c r="U39" s="415">
        <f t="shared" ref="U39:AE41" si="133">IF($F39=U$6,(($D39+$E39)/12),T39)</f>
        <v>0</v>
      </c>
      <c r="V39" s="415">
        <f t="shared" si="133"/>
        <v>0</v>
      </c>
      <c r="W39" s="415">
        <f t="shared" si="133"/>
        <v>0</v>
      </c>
      <c r="X39" s="415">
        <f t="shared" si="133"/>
        <v>0</v>
      </c>
      <c r="Y39" s="415">
        <f t="shared" si="133"/>
        <v>0</v>
      </c>
      <c r="Z39" s="415">
        <f t="shared" si="133"/>
        <v>0</v>
      </c>
      <c r="AA39" s="415">
        <f t="shared" si="133"/>
        <v>0</v>
      </c>
      <c r="AB39" s="415">
        <f t="shared" si="133"/>
        <v>0</v>
      </c>
      <c r="AC39" s="415">
        <f t="shared" si="133"/>
        <v>0</v>
      </c>
      <c r="AD39" s="415">
        <f t="shared" si="133"/>
        <v>0</v>
      </c>
      <c r="AE39" s="415">
        <f t="shared" si="133"/>
        <v>0</v>
      </c>
      <c r="AF39" s="416">
        <f t="shared" ref="AF39:AF41" si="134">SUM(T39:AE39)</f>
        <v>0</v>
      </c>
      <c r="AG39" s="415">
        <f t="shared" ref="AG39:AG41" si="135">IF($F39=AG$6,($D39+$E39)/12,AE39*(1+AG$8))</f>
        <v>0</v>
      </c>
      <c r="AH39" s="415">
        <f t="shared" ref="AH39:AR41" si="136">IF($F39=AH$6,(($D39+$E39)/12),AG39)</f>
        <v>0</v>
      </c>
      <c r="AI39" s="415">
        <f t="shared" si="136"/>
        <v>0</v>
      </c>
      <c r="AJ39" s="415">
        <f t="shared" si="136"/>
        <v>0</v>
      </c>
      <c r="AK39" s="415">
        <f t="shared" si="136"/>
        <v>0</v>
      </c>
      <c r="AL39" s="415">
        <f t="shared" si="136"/>
        <v>0</v>
      </c>
      <c r="AM39" s="415">
        <f t="shared" si="136"/>
        <v>0</v>
      </c>
      <c r="AN39" s="415">
        <f t="shared" si="136"/>
        <v>0</v>
      </c>
      <c r="AO39" s="415">
        <f t="shared" si="136"/>
        <v>0</v>
      </c>
      <c r="AP39" s="415">
        <f t="shared" si="136"/>
        <v>0</v>
      </c>
      <c r="AQ39" s="415">
        <f t="shared" si="136"/>
        <v>0</v>
      </c>
      <c r="AR39" s="415">
        <f t="shared" si="136"/>
        <v>0</v>
      </c>
      <c r="AS39" s="416">
        <f t="shared" ref="AS39:AS41" si="137">SUM(AG39:AR39)</f>
        <v>0</v>
      </c>
      <c r="AT39" s="415">
        <f t="shared" ref="AT39:AT41" si="138">IF($F39=AT$6,($D39+$E39)/12,AR39*(1+AT$8))</f>
        <v>12500</v>
      </c>
      <c r="AU39" s="415">
        <f t="shared" ref="AU39:BE41" si="139">IF($F39=AU$6,(($D39+$E39)/12),AT39)</f>
        <v>12500</v>
      </c>
      <c r="AV39" s="415">
        <f t="shared" si="139"/>
        <v>12500</v>
      </c>
      <c r="AW39" s="415">
        <f t="shared" si="139"/>
        <v>12500</v>
      </c>
      <c r="AX39" s="415">
        <f t="shared" si="139"/>
        <v>12500</v>
      </c>
      <c r="AY39" s="415">
        <f t="shared" si="139"/>
        <v>12500</v>
      </c>
      <c r="AZ39" s="415">
        <f t="shared" si="139"/>
        <v>12500</v>
      </c>
      <c r="BA39" s="415">
        <f t="shared" si="139"/>
        <v>12500</v>
      </c>
      <c r="BB39" s="415">
        <f t="shared" si="139"/>
        <v>12500</v>
      </c>
      <c r="BC39" s="415">
        <f t="shared" si="139"/>
        <v>12500</v>
      </c>
      <c r="BD39" s="415">
        <f t="shared" si="139"/>
        <v>12500</v>
      </c>
      <c r="BE39" s="415">
        <f t="shared" si="139"/>
        <v>12500</v>
      </c>
      <c r="BF39" s="416">
        <f t="shared" ref="BF39:BF41" si="140">SUM(AT39:BE39)</f>
        <v>150000</v>
      </c>
      <c r="BG39" s="415">
        <f t="shared" ref="BG39:BG41" si="141">IF($F39=BG$6,($D39+$E39)/12,BE39*(1+BG$8))</f>
        <v>13000</v>
      </c>
      <c r="BH39" s="415">
        <f t="shared" ref="BH39:BR41" si="142">IF($F39=BH$6,(($D39+$E39)/12),BG39)</f>
        <v>13000</v>
      </c>
      <c r="BI39" s="415">
        <f t="shared" si="142"/>
        <v>13000</v>
      </c>
      <c r="BJ39" s="415">
        <f t="shared" si="142"/>
        <v>13000</v>
      </c>
      <c r="BK39" s="415">
        <f t="shared" si="142"/>
        <v>13000</v>
      </c>
      <c r="BL39" s="415">
        <f t="shared" si="142"/>
        <v>13000</v>
      </c>
      <c r="BM39" s="415">
        <f t="shared" si="142"/>
        <v>13000</v>
      </c>
      <c r="BN39" s="415">
        <f t="shared" si="142"/>
        <v>13000</v>
      </c>
      <c r="BO39" s="415">
        <f t="shared" si="142"/>
        <v>13000</v>
      </c>
      <c r="BP39" s="415">
        <f t="shared" si="142"/>
        <v>13000</v>
      </c>
      <c r="BQ39" s="415">
        <f t="shared" si="142"/>
        <v>13000</v>
      </c>
      <c r="BR39" s="415">
        <f t="shared" si="142"/>
        <v>13000</v>
      </c>
      <c r="BS39" s="416">
        <f t="shared" ref="BS39:BS41" si="143">SUM(BG39:BR39)</f>
        <v>156000</v>
      </c>
      <c r="BT39" s="415">
        <f t="shared" ref="BT39:BT41" si="144">IF($F39=BT$6,($D39+$E39)/12,BR39*(1+BT$8))</f>
        <v>13520</v>
      </c>
      <c r="BU39" s="415">
        <f t="shared" ref="BU39:CE41" si="145">IF($F39=BU$6,(($D39+$E39)/12),BT39)</f>
        <v>13520</v>
      </c>
      <c r="BV39" s="415">
        <f t="shared" si="145"/>
        <v>13520</v>
      </c>
      <c r="BW39" s="415">
        <f t="shared" si="145"/>
        <v>13520</v>
      </c>
      <c r="BX39" s="415">
        <f t="shared" si="145"/>
        <v>13520</v>
      </c>
      <c r="BY39" s="415">
        <f t="shared" si="145"/>
        <v>13520</v>
      </c>
      <c r="BZ39" s="415">
        <f t="shared" si="145"/>
        <v>13520</v>
      </c>
      <c r="CA39" s="415">
        <f t="shared" si="145"/>
        <v>13520</v>
      </c>
      <c r="CB39" s="415">
        <f t="shared" si="145"/>
        <v>13520</v>
      </c>
      <c r="CC39" s="415">
        <f t="shared" si="145"/>
        <v>13520</v>
      </c>
      <c r="CD39" s="415">
        <f t="shared" si="145"/>
        <v>13520</v>
      </c>
      <c r="CE39" s="415">
        <f t="shared" si="145"/>
        <v>13520</v>
      </c>
      <c r="CF39" s="416">
        <f t="shared" ref="CF39:CF41" si="146">SUM(BT39:CE39)</f>
        <v>162240</v>
      </c>
    </row>
    <row r="40" spans="1:84" ht="15">
      <c r="A40" s="419"/>
      <c r="B40" s="412" t="s">
        <v>137</v>
      </c>
      <c r="C40" s="412" t="s">
        <v>607</v>
      </c>
      <c r="D40" s="413">
        <v>65000</v>
      </c>
      <c r="E40" s="413"/>
      <c r="F40" s="414" t="s">
        <v>319</v>
      </c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6"/>
      <c r="T40" s="415">
        <f t="shared" si="132"/>
        <v>0</v>
      </c>
      <c r="U40" s="415">
        <f t="shared" si="133"/>
        <v>0</v>
      </c>
      <c r="V40" s="415">
        <f t="shared" si="133"/>
        <v>0</v>
      </c>
      <c r="W40" s="415">
        <f t="shared" si="133"/>
        <v>0</v>
      </c>
      <c r="X40" s="415">
        <f t="shared" si="133"/>
        <v>0</v>
      </c>
      <c r="Y40" s="415">
        <f t="shared" si="133"/>
        <v>0</v>
      </c>
      <c r="Z40" s="415">
        <f t="shared" si="133"/>
        <v>0</v>
      </c>
      <c r="AA40" s="415">
        <f t="shared" si="133"/>
        <v>0</v>
      </c>
      <c r="AB40" s="415">
        <f t="shared" si="133"/>
        <v>0</v>
      </c>
      <c r="AC40" s="415">
        <f t="shared" si="133"/>
        <v>0</v>
      </c>
      <c r="AD40" s="415">
        <f t="shared" si="133"/>
        <v>0</v>
      </c>
      <c r="AE40" s="415">
        <f t="shared" si="133"/>
        <v>0</v>
      </c>
      <c r="AF40" s="416">
        <f t="shared" si="134"/>
        <v>0</v>
      </c>
      <c r="AG40" s="415">
        <f t="shared" si="135"/>
        <v>0</v>
      </c>
      <c r="AH40" s="415">
        <f t="shared" si="136"/>
        <v>0</v>
      </c>
      <c r="AI40" s="415">
        <f t="shared" si="136"/>
        <v>0</v>
      </c>
      <c r="AJ40" s="415">
        <f t="shared" si="136"/>
        <v>0</v>
      </c>
      <c r="AK40" s="415">
        <f t="shared" si="136"/>
        <v>0</v>
      </c>
      <c r="AL40" s="415">
        <f t="shared" si="136"/>
        <v>0</v>
      </c>
      <c r="AM40" s="415">
        <f t="shared" si="136"/>
        <v>0</v>
      </c>
      <c r="AN40" s="415">
        <f t="shared" si="136"/>
        <v>0</v>
      </c>
      <c r="AO40" s="415">
        <f t="shared" si="136"/>
        <v>0</v>
      </c>
      <c r="AP40" s="415">
        <f t="shared" si="136"/>
        <v>0</v>
      </c>
      <c r="AQ40" s="415">
        <f t="shared" si="136"/>
        <v>0</v>
      </c>
      <c r="AR40" s="415">
        <f t="shared" si="136"/>
        <v>0</v>
      </c>
      <c r="AS40" s="416">
        <f t="shared" si="137"/>
        <v>0</v>
      </c>
      <c r="AT40" s="415">
        <f t="shared" si="138"/>
        <v>5416.666666666667</v>
      </c>
      <c r="AU40" s="415">
        <f t="shared" si="139"/>
        <v>5416.666666666667</v>
      </c>
      <c r="AV40" s="415">
        <f t="shared" si="139"/>
        <v>5416.666666666667</v>
      </c>
      <c r="AW40" s="415">
        <f t="shared" si="139"/>
        <v>5416.666666666667</v>
      </c>
      <c r="AX40" s="415">
        <f t="shared" si="139"/>
        <v>5416.666666666667</v>
      </c>
      <c r="AY40" s="415">
        <f t="shared" si="139"/>
        <v>5416.666666666667</v>
      </c>
      <c r="AZ40" s="415">
        <f t="shared" si="139"/>
        <v>5416.666666666667</v>
      </c>
      <c r="BA40" s="415">
        <f t="shared" si="139"/>
        <v>5416.666666666667</v>
      </c>
      <c r="BB40" s="415">
        <f t="shared" si="139"/>
        <v>5416.666666666667</v>
      </c>
      <c r="BC40" s="415">
        <f t="shared" si="139"/>
        <v>5416.666666666667</v>
      </c>
      <c r="BD40" s="415">
        <f t="shared" si="139"/>
        <v>5416.666666666667</v>
      </c>
      <c r="BE40" s="415">
        <f t="shared" si="139"/>
        <v>5416.666666666667</v>
      </c>
      <c r="BF40" s="416">
        <f t="shared" si="140"/>
        <v>64999.999999999993</v>
      </c>
      <c r="BG40" s="415">
        <f t="shared" si="141"/>
        <v>5633.3333333333339</v>
      </c>
      <c r="BH40" s="415">
        <f t="shared" si="142"/>
        <v>5633.3333333333339</v>
      </c>
      <c r="BI40" s="415">
        <f t="shared" si="142"/>
        <v>5633.3333333333339</v>
      </c>
      <c r="BJ40" s="415">
        <f t="shared" si="142"/>
        <v>5633.3333333333339</v>
      </c>
      <c r="BK40" s="415">
        <f t="shared" si="142"/>
        <v>5633.3333333333339</v>
      </c>
      <c r="BL40" s="415">
        <f t="shared" si="142"/>
        <v>5633.3333333333339</v>
      </c>
      <c r="BM40" s="415">
        <f t="shared" si="142"/>
        <v>5633.3333333333339</v>
      </c>
      <c r="BN40" s="415">
        <f t="shared" si="142"/>
        <v>5633.3333333333339</v>
      </c>
      <c r="BO40" s="415">
        <f t="shared" si="142"/>
        <v>5633.3333333333339</v>
      </c>
      <c r="BP40" s="415">
        <f t="shared" si="142"/>
        <v>5633.3333333333339</v>
      </c>
      <c r="BQ40" s="415">
        <f t="shared" si="142"/>
        <v>5633.3333333333339</v>
      </c>
      <c r="BR40" s="415">
        <f t="shared" si="142"/>
        <v>5633.3333333333339</v>
      </c>
      <c r="BS40" s="416">
        <f t="shared" si="143"/>
        <v>67600.000000000015</v>
      </c>
      <c r="BT40" s="415">
        <f t="shared" si="144"/>
        <v>5858.6666666666679</v>
      </c>
      <c r="BU40" s="415">
        <f t="shared" si="145"/>
        <v>5858.6666666666679</v>
      </c>
      <c r="BV40" s="415">
        <f t="shared" si="145"/>
        <v>5858.6666666666679</v>
      </c>
      <c r="BW40" s="415">
        <f t="shared" si="145"/>
        <v>5858.6666666666679</v>
      </c>
      <c r="BX40" s="415">
        <f t="shared" si="145"/>
        <v>5858.6666666666679</v>
      </c>
      <c r="BY40" s="415">
        <f t="shared" si="145"/>
        <v>5858.6666666666679</v>
      </c>
      <c r="BZ40" s="415">
        <f t="shared" si="145"/>
        <v>5858.6666666666679</v>
      </c>
      <c r="CA40" s="415">
        <f t="shared" si="145"/>
        <v>5858.6666666666679</v>
      </c>
      <c r="CB40" s="415">
        <f t="shared" si="145"/>
        <v>5858.6666666666679</v>
      </c>
      <c r="CC40" s="415">
        <f t="shared" si="145"/>
        <v>5858.6666666666679</v>
      </c>
      <c r="CD40" s="415">
        <f t="shared" si="145"/>
        <v>5858.6666666666679</v>
      </c>
      <c r="CE40" s="415">
        <f t="shared" si="145"/>
        <v>5858.6666666666679</v>
      </c>
      <c r="CF40" s="416">
        <f t="shared" si="146"/>
        <v>70304.000000000029</v>
      </c>
    </row>
    <row r="41" spans="1:84" ht="15">
      <c r="A41" s="419"/>
      <c r="B41" s="412" t="s">
        <v>137</v>
      </c>
      <c r="C41" s="420" t="s">
        <v>608</v>
      </c>
      <c r="D41" s="413">
        <v>65000</v>
      </c>
      <c r="E41" s="413"/>
      <c r="F41" s="414" t="s">
        <v>319</v>
      </c>
      <c r="G41" s="415"/>
      <c r="H41" s="415"/>
      <c r="I41" s="415"/>
      <c r="J41" s="415"/>
      <c r="K41" s="415"/>
      <c r="L41" s="415"/>
      <c r="M41" s="415"/>
      <c r="N41" s="415"/>
      <c r="O41" s="415"/>
      <c r="P41" s="415"/>
      <c r="Q41" s="415"/>
      <c r="R41" s="415"/>
      <c r="S41" s="416"/>
      <c r="T41" s="415">
        <f t="shared" si="132"/>
        <v>0</v>
      </c>
      <c r="U41" s="415">
        <f t="shared" si="133"/>
        <v>0</v>
      </c>
      <c r="V41" s="415">
        <f t="shared" si="133"/>
        <v>0</v>
      </c>
      <c r="W41" s="415">
        <f t="shared" si="133"/>
        <v>0</v>
      </c>
      <c r="X41" s="415">
        <f t="shared" si="133"/>
        <v>0</v>
      </c>
      <c r="Y41" s="415">
        <f t="shared" si="133"/>
        <v>0</v>
      </c>
      <c r="Z41" s="415">
        <f t="shared" si="133"/>
        <v>0</v>
      </c>
      <c r="AA41" s="415">
        <f t="shared" si="133"/>
        <v>0</v>
      </c>
      <c r="AB41" s="415">
        <f t="shared" si="133"/>
        <v>0</v>
      </c>
      <c r="AC41" s="415">
        <f t="shared" si="133"/>
        <v>0</v>
      </c>
      <c r="AD41" s="415">
        <f t="shared" si="133"/>
        <v>0</v>
      </c>
      <c r="AE41" s="415">
        <f t="shared" si="133"/>
        <v>0</v>
      </c>
      <c r="AF41" s="416">
        <f t="shared" si="134"/>
        <v>0</v>
      </c>
      <c r="AG41" s="415">
        <f t="shared" si="135"/>
        <v>0</v>
      </c>
      <c r="AH41" s="415">
        <f t="shared" si="136"/>
        <v>0</v>
      </c>
      <c r="AI41" s="415">
        <f t="shared" si="136"/>
        <v>0</v>
      </c>
      <c r="AJ41" s="415">
        <f t="shared" si="136"/>
        <v>0</v>
      </c>
      <c r="AK41" s="415">
        <f t="shared" si="136"/>
        <v>0</v>
      </c>
      <c r="AL41" s="415">
        <f t="shared" si="136"/>
        <v>0</v>
      </c>
      <c r="AM41" s="415">
        <f t="shared" si="136"/>
        <v>0</v>
      </c>
      <c r="AN41" s="415">
        <f t="shared" si="136"/>
        <v>0</v>
      </c>
      <c r="AO41" s="415">
        <f t="shared" si="136"/>
        <v>0</v>
      </c>
      <c r="AP41" s="415">
        <f t="shared" si="136"/>
        <v>0</v>
      </c>
      <c r="AQ41" s="415">
        <f t="shared" si="136"/>
        <v>0</v>
      </c>
      <c r="AR41" s="415">
        <f t="shared" si="136"/>
        <v>0</v>
      </c>
      <c r="AS41" s="416">
        <f t="shared" si="137"/>
        <v>0</v>
      </c>
      <c r="AT41" s="415">
        <f t="shared" si="138"/>
        <v>5416.666666666667</v>
      </c>
      <c r="AU41" s="415">
        <f t="shared" si="139"/>
        <v>5416.666666666667</v>
      </c>
      <c r="AV41" s="415">
        <f t="shared" si="139"/>
        <v>5416.666666666667</v>
      </c>
      <c r="AW41" s="415">
        <f t="shared" si="139"/>
        <v>5416.666666666667</v>
      </c>
      <c r="AX41" s="415">
        <f t="shared" si="139"/>
        <v>5416.666666666667</v>
      </c>
      <c r="AY41" s="415">
        <f t="shared" si="139"/>
        <v>5416.666666666667</v>
      </c>
      <c r="AZ41" s="415">
        <f t="shared" si="139"/>
        <v>5416.666666666667</v>
      </c>
      <c r="BA41" s="415">
        <f t="shared" si="139"/>
        <v>5416.666666666667</v>
      </c>
      <c r="BB41" s="415">
        <f t="shared" si="139"/>
        <v>5416.666666666667</v>
      </c>
      <c r="BC41" s="415">
        <f t="shared" si="139"/>
        <v>5416.666666666667</v>
      </c>
      <c r="BD41" s="415">
        <f t="shared" si="139"/>
        <v>5416.666666666667</v>
      </c>
      <c r="BE41" s="415">
        <f t="shared" si="139"/>
        <v>5416.666666666667</v>
      </c>
      <c r="BF41" s="416">
        <f t="shared" si="140"/>
        <v>64999.999999999993</v>
      </c>
      <c r="BG41" s="415">
        <f t="shared" si="141"/>
        <v>5633.3333333333339</v>
      </c>
      <c r="BH41" s="415">
        <f t="shared" si="142"/>
        <v>5633.3333333333339</v>
      </c>
      <c r="BI41" s="415">
        <f t="shared" si="142"/>
        <v>5633.3333333333339</v>
      </c>
      <c r="BJ41" s="415">
        <f t="shared" si="142"/>
        <v>5633.3333333333339</v>
      </c>
      <c r="BK41" s="415">
        <f t="shared" si="142"/>
        <v>5633.3333333333339</v>
      </c>
      <c r="BL41" s="415">
        <f t="shared" si="142"/>
        <v>5633.3333333333339</v>
      </c>
      <c r="BM41" s="415">
        <f t="shared" si="142"/>
        <v>5633.3333333333339</v>
      </c>
      <c r="BN41" s="415">
        <f t="shared" si="142"/>
        <v>5633.3333333333339</v>
      </c>
      <c r="BO41" s="415">
        <f t="shared" si="142"/>
        <v>5633.3333333333339</v>
      </c>
      <c r="BP41" s="415">
        <f t="shared" si="142"/>
        <v>5633.3333333333339</v>
      </c>
      <c r="BQ41" s="415">
        <f t="shared" si="142"/>
        <v>5633.3333333333339</v>
      </c>
      <c r="BR41" s="415">
        <f t="shared" si="142"/>
        <v>5633.3333333333339</v>
      </c>
      <c r="BS41" s="416">
        <f t="shared" si="143"/>
        <v>67600.000000000015</v>
      </c>
      <c r="BT41" s="415">
        <f t="shared" si="144"/>
        <v>5858.6666666666679</v>
      </c>
      <c r="BU41" s="415">
        <f t="shared" si="145"/>
        <v>5858.6666666666679</v>
      </c>
      <c r="BV41" s="415">
        <f t="shared" si="145"/>
        <v>5858.6666666666679</v>
      </c>
      <c r="BW41" s="415">
        <f t="shared" si="145"/>
        <v>5858.6666666666679</v>
      </c>
      <c r="BX41" s="415">
        <f t="shared" si="145"/>
        <v>5858.6666666666679</v>
      </c>
      <c r="BY41" s="415">
        <f t="shared" si="145"/>
        <v>5858.6666666666679</v>
      </c>
      <c r="BZ41" s="415">
        <f t="shared" si="145"/>
        <v>5858.6666666666679</v>
      </c>
      <c r="CA41" s="415">
        <f t="shared" si="145"/>
        <v>5858.6666666666679</v>
      </c>
      <c r="CB41" s="415">
        <f t="shared" si="145"/>
        <v>5858.6666666666679</v>
      </c>
      <c r="CC41" s="415">
        <f t="shared" si="145"/>
        <v>5858.6666666666679</v>
      </c>
      <c r="CD41" s="415">
        <f t="shared" si="145"/>
        <v>5858.6666666666679</v>
      </c>
      <c r="CE41" s="415">
        <f t="shared" si="145"/>
        <v>5858.6666666666679</v>
      </c>
      <c r="CF41" s="416">
        <f t="shared" si="146"/>
        <v>70304.000000000029</v>
      </c>
    </row>
    <row r="42" spans="1:84">
      <c r="A42" s="408" t="s">
        <v>609</v>
      </c>
      <c r="B42" s="408"/>
      <c r="C42" s="417"/>
      <c r="D42" s="418"/>
      <c r="E42" s="418"/>
      <c r="F42" s="414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2"/>
      <c r="T42" s="421"/>
      <c r="U42" s="421"/>
      <c r="V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2"/>
      <c r="AG42" s="421"/>
      <c r="AH42" s="421"/>
      <c r="AI42" s="421"/>
      <c r="AJ42" s="421"/>
      <c r="AK42" s="421"/>
      <c r="AL42" s="421"/>
      <c r="AM42" s="421"/>
      <c r="AN42" s="421"/>
      <c r="AO42" s="421"/>
      <c r="AP42" s="421"/>
      <c r="AQ42" s="421"/>
      <c r="AR42" s="421"/>
      <c r="AS42" s="422"/>
      <c r="AT42" s="421"/>
      <c r="AU42" s="421"/>
      <c r="AV42" s="421"/>
      <c r="AW42" s="421"/>
      <c r="AX42" s="421"/>
      <c r="AY42" s="421"/>
      <c r="AZ42" s="421"/>
      <c r="BA42" s="421"/>
      <c r="BB42" s="421"/>
      <c r="BC42" s="421"/>
      <c r="BD42" s="421"/>
      <c r="BE42" s="421"/>
      <c r="BF42" s="422"/>
      <c r="BG42" s="421"/>
      <c r="BH42" s="421"/>
      <c r="BI42" s="421"/>
      <c r="BJ42" s="421"/>
      <c r="BK42" s="421"/>
      <c r="BL42" s="421"/>
      <c r="BM42" s="421"/>
      <c r="BN42" s="421"/>
      <c r="BO42" s="421"/>
      <c r="BP42" s="421"/>
      <c r="BQ42" s="421"/>
      <c r="BR42" s="421"/>
      <c r="BS42" s="422"/>
      <c r="BT42" s="421"/>
      <c r="BU42" s="421"/>
      <c r="BV42" s="421"/>
      <c r="BW42" s="421"/>
      <c r="BX42" s="421"/>
      <c r="BY42" s="421"/>
      <c r="BZ42" s="421"/>
      <c r="CA42" s="421"/>
      <c r="CB42" s="421"/>
      <c r="CC42" s="421"/>
      <c r="CD42" s="421"/>
      <c r="CE42" s="421"/>
      <c r="CF42" s="422"/>
    </row>
    <row r="43" spans="1:84">
      <c r="A43" s="399"/>
      <c r="B43" s="412" t="s">
        <v>137</v>
      </c>
      <c r="C43" s="412" t="s">
        <v>610</v>
      </c>
      <c r="D43" s="413">
        <v>200000</v>
      </c>
      <c r="E43" s="413"/>
      <c r="F43" s="414" t="s">
        <v>319</v>
      </c>
      <c r="G43" s="415"/>
      <c r="H43" s="415"/>
      <c r="I43" s="415"/>
      <c r="J43" s="415"/>
      <c r="K43" s="415"/>
      <c r="L43" s="415"/>
      <c r="M43" s="415"/>
      <c r="N43" s="415"/>
      <c r="O43" s="415"/>
      <c r="P43" s="415"/>
      <c r="Q43" s="415"/>
      <c r="R43" s="415"/>
      <c r="S43" s="416"/>
      <c r="T43" s="415">
        <f t="shared" ref="T43:T61" si="147">IF($F43=T$6,(($D43+$E43)*(1+$T$8))/12,R43*(1+T$8))</f>
        <v>0</v>
      </c>
      <c r="U43" s="415">
        <f t="shared" ref="U43:AE59" si="148">IF($F43=U$6,(($D43+$E43)/12),T43)</f>
        <v>0</v>
      </c>
      <c r="V43" s="415">
        <f t="shared" si="148"/>
        <v>0</v>
      </c>
      <c r="W43" s="415">
        <f t="shared" si="148"/>
        <v>0</v>
      </c>
      <c r="X43" s="415">
        <f t="shared" si="148"/>
        <v>0</v>
      </c>
      <c r="Y43" s="415">
        <f t="shared" si="148"/>
        <v>0</v>
      </c>
      <c r="Z43" s="415">
        <f t="shared" si="148"/>
        <v>0</v>
      </c>
      <c r="AA43" s="415">
        <f t="shared" si="148"/>
        <v>0</v>
      </c>
      <c r="AB43" s="415">
        <f t="shared" si="148"/>
        <v>0</v>
      </c>
      <c r="AC43" s="415">
        <f t="shared" si="148"/>
        <v>0</v>
      </c>
      <c r="AD43" s="415">
        <f t="shared" si="148"/>
        <v>0</v>
      </c>
      <c r="AE43" s="415">
        <f t="shared" si="148"/>
        <v>0</v>
      </c>
      <c r="AF43" s="416">
        <f t="shared" ref="AF43:AF61" si="149">SUM(T43:AE43)</f>
        <v>0</v>
      </c>
      <c r="AG43" s="415">
        <f t="shared" ref="AG43:AG61" si="150">IF($F43=AG$6,($D43+$E43)/12,AE43*(1+AG$8))</f>
        <v>0</v>
      </c>
      <c r="AH43" s="415">
        <f t="shared" ref="AH43:AR59" si="151">IF($F43=AH$6,(($D43+$E43)/12),AG43)</f>
        <v>0</v>
      </c>
      <c r="AI43" s="415">
        <f t="shared" si="151"/>
        <v>0</v>
      </c>
      <c r="AJ43" s="415">
        <f t="shared" si="151"/>
        <v>0</v>
      </c>
      <c r="AK43" s="415">
        <f t="shared" si="151"/>
        <v>0</v>
      </c>
      <c r="AL43" s="415">
        <f t="shared" si="151"/>
        <v>0</v>
      </c>
      <c r="AM43" s="415">
        <f t="shared" si="151"/>
        <v>0</v>
      </c>
      <c r="AN43" s="415">
        <f t="shared" si="151"/>
        <v>0</v>
      </c>
      <c r="AO43" s="415">
        <f t="shared" si="151"/>
        <v>0</v>
      </c>
      <c r="AP43" s="415">
        <f t="shared" si="151"/>
        <v>0</v>
      </c>
      <c r="AQ43" s="415">
        <f t="shared" si="151"/>
        <v>0</v>
      </c>
      <c r="AR43" s="415">
        <f t="shared" si="151"/>
        <v>0</v>
      </c>
      <c r="AS43" s="416">
        <f t="shared" ref="AS43:AS61" si="152">SUM(AG43:AR43)</f>
        <v>0</v>
      </c>
      <c r="AT43" s="415">
        <f t="shared" ref="AT43:AT61" si="153">IF($F43=AT$6,($D43+$E43)/12,AR43*(1+AT$8))</f>
        <v>16666.666666666668</v>
      </c>
      <c r="AU43" s="415">
        <f t="shared" ref="AU43:BE59" si="154">IF($F43=AU$6,(($D43+$E43)/12),AT43)</f>
        <v>16666.666666666668</v>
      </c>
      <c r="AV43" s="415">
        <f t="shared" si="154"/>
        <v>16666.666666666668</v>
      </c>
      <c r="AW43" s="415">
        <f t="shared" si="154"/>
        <v>16666.666666666668</v>
      </c>
      <c r="AX43" s="415">
        <f t="shared" si="154"/>
        <v>16666.666666666668</v>
      </c>
      <c r="AY43" s="415">
        <f t="shared" si="154"/>
        <v>16666.666666666668</v>
      </c>
      <c r="AZ43" s="415">
        <f t="shared" si="154"/>
        <v>16666.666666666668</v>
      </c>
      <c r="BA43" s="415">
        <f t="shared" si="154"/>
        <v>16666.666666666668</v>
      </c>
      <c r="BB43" s="415">
        <f t="shared" si="154"/>
        <v>16666.666666666668</v>
      </c>
      <c r="BC43" s="415">
        <f t="shared" si="154"/>
        <v>16666.666666666668</v>
      </c>
      <c r="BD43" s="415">
        <f t="shared" si="154"/>
        <v>16666.666666666668</v>
      </c>
      <c r="BE43" s="415">
        <f t="shared" si="154"/>
        <v>16666.666666666668</v>
      </c>
      <c r="BF43" s="416">
        <f t="shared" ref="BF43:BF61" si="155">SUM(AT43:BE43)</f>
        <v>199999.99999999997</v>
      </c>
      <c r="BG43" s="415">
        <f t="shared" ref="BG43:BG61" si="156">IF($F43=BG$6,($D43+$E43)/12,BE43*(1+BG$8))</f>
        <v>17333.333333333336</v>
      </c>
      <c r="BH43" s="415">
        <f t="shared" ref="BH43:BR59" si="157">IF($F43=BH$6,(($D43+$E43)/12),BG43)</f>
        <v>17333.333333333336</v>
      </c>
      <c r="BI43" s="415">
        <f t="shared" si="157"/>
        <v>17333.333333333336</v>
      </c>
      <c r="BJ43" s="415">
        <f t="shared" si="157"/>
        <v>17333.333333333336</v>
      </c>
      <c r="BK43" s="415">
        <f t="shared" si="157"/>
        <v>17333.333333333336</v>
      </c>
      <c r="BL43" s="415">
        <f t="shared" si="157"/>
        <v>17333.333333333336</v>
      </c>
      <c r="BM43" s="415">
        <f t="shared" si="157"/>
        <v>17333.333333333336</v>
      </c>
      <c r="BN43" s="415">
        <f t="shared" si="157"/>
        <v>17333.333333333336</v>
      </c>
      <c r="BO43" s="415">
        <f t="shared" si="157"/>
        <v>17333.333333333336</v>
      </c>
      <c r="BP43" s="415">
        <f t="shared" si="157"/>
        <v>17333.333333333336</v>
      </c>
      <c r="BQ43" s="415">
        <f t="shared" si="157"/>
        <v>17333.333333333336</v>
      </c>
      <c r="BR43" s="415">
        <f t="shared" si="157"/>
        <v>17333.333333333336</v>
      </c>
      <c r="BS43" s="416">
        <f t="shared" ref="BS43:BS61" si="158">SUM(BG43:BR43)</f>
        <v>208000.00000000009</v>
      </c>
      <c r="BT43" s="415">
        <f t="shared" ref="BT43:BT61" si="159">IF($F43=BT$6,($D43+$E43)/12,BR43*(1+BT$8))</f>
        <v>18026.666666666672</v>
      </c>
      <c r="BU43" s="415">
        <f t="shared" ref="BU43:CE59" si="160">IF($F43=BU$6,(($D43+$E43)/12),BT43)</f>
        <v>18026.666666666672</v>
      </c>
      <c r="BV43" s="415">
        <f t="shared" si="160"/>
        <v>18026.666666666672</v>
      </c>
      <c r="BW43" s="415">
        <f t="shared" si="160"/>
        <v>18026.666666666672</v>
      </c>
      <c r="BX43" s="415">
        <f t="shared" si="160"/>
        <v>18026.666666666672</v>
      </c>
      <c r="BY43" s="415">
        <f t="shared" si="160"/>
        <v>18026.666666666672</v>
      </c>
      <c r="BZ43" s="415">
        <f t="shared" si="160"/>
        <v>18026.666666666672</v>
      </c>
      <c r="CA43" s="415">
        <f t="shared" si="160"/>
        <v>18026.666666666672</v>
      </c>
      <c r="CB43" s="415">
        <f t="shared" si="160"/>
        <v>18026.666666666672</v>
      </c>
      <c r="CC43" s="415">
        <f t="shared" si="160"/>
        <v>18026.666666666672</v>
      </c>
      <c r="CD43" s="415">
        <f t="shared" si="160"/>
        <v>18026.666666666672</v>
      </c>
      <c r="CE43" s="415">
        <f t="shared" si="160"/>
        <v>18026.666666666672</v>
      </c>
      <c r="CF43" s="416">
        <f t="shared" ref="CF43:CF61" si="161">SUM(BT43:CE43)</f>
        <v>216320.00000000012</v>
      </c>
    </row>
    <row r="44" spans="1:84">
      <c r="A44" s="399"/>
      <c r="B44" s="412" t="s">
        <v>137</v>
      </c>
      <c r="C44" s="479" t="s">
        <v>722</v>
      </c>
      <c r="D44" s="413">
        <v>90000</v>
      </c>
      <c r="E44" s="413"/>
      <c r="F44" s="414" t="s">
        <v>311</v>
      </c>
      <c r="G44" s="415"/>
      <c r="H44" s="415"/>
      <c r="I44" s="415"/>
      <c r="J44" s="415"/>
      <c r="K44" s="415"/>
      <c r="L44" s="415"/>
      <c r="M44" s="415"/>
      <c r="N44" s="415"/>
      <c r="O44" s="415"/>
      <c r="P44" s="415"/>
      <c r="Q44" s="415"/>
      <c r="R44" s="415"/>
      <c r="S44" s="416"/>
      <c r="T44" s="415">
        <f t="shared" ref="T44" si="162">IF($F44=T$6,(($D44+$E44)*(1+$T$8))/12,R44*(1+T$8))</f>
        <v>0</v>
      </c>
      <c r="U44" s="415">
        <f t="shared" ref="U44" si="163">IF($F44=U$6,(($D44+$E44)/12),T44)</f>
        <v>0</v>
      </c>
      <c r="V44" s="415">
        <f t="shared" ref="V44" si="164">IF($F44=V$6,(($D44+$E44)/12),U44)</f>
        <v>0</v>
      </c>
      <c r="W44" s="415">
        <f t="shared" ref="W44" si="165">IF($F44=W$6,(($D44+$E44)/12),V44)</f>
        <v>0</v>
      </c>
      <c r="X44" s="415">
        <f t="shared" ref="X44" si="166">IF($F44=X$6,(($D44+$E44)/12),W44)</f>
        <v>0</v>
      </c>
      <c r="Y44" s="415">
        <f t="shared" ref="Y44" si="167">IF($F44=Y$6,(($D44+$E44)/12),X44)</f>
        <v>0</v>
      </c>
      <c r="Z44" s="415">
        <f t="shared" ref="Z44" si="168">IF($F44=Z$6,(($D44+$E44)/12),Y44)</f>
        <v>0</v>
      </c>
      <c r="AA44" s="415">
        <f t="shared" ref="AA44" si="169">IF($F44=AA$6,(($D44+$E44)/12),Z44)</f>
        <v>0</v>
      </c>
      <c r="AB44" s="415">
        <f t="shared" ref="AB44" si="170">IF($F44=AB$6,(($D44+$E44)/12),AA44)</f>
        <v>0</v>
      </c>
      <c r="AC44" s="415">
        <f t="shared" ref="AC44" si="171">IF($F44=AC$6,(($D44+$E44)/12),AB44)</f>
        <v>0</v>
      </c>
      <c r="AD44" s="415">
        <f t="shared" ref="AD44" si="172">IF($F44=AD$6,(($D44+$E44)/12),AC44)</f>
        <v>0</v>
      </c>
      <c r="AE44" s="415">
        <f t="shared" ref="AE44" si="173">IF($F44=AE$6,(($D44+$E44)/12),AD44)</f>
        <v>0</v>
      </c>
      <c r="AF44" s="416">
        <f t="shared" ref="AF44" si="174">SUM(T44:AE44)</f>
        <v>0</v>
      </c>
      <c r="AG44" s="415">
        <f t="shared" ref="AG44" si="175">IF($F44=AG$6,($D44+$E44)/12,AE44*(1+AG$8))</f>
        <v>0</v>
      </c>
      <c r="AH44" s="415">
        <f t="shared" ref="AH44" si="176">IF($F44=AH$6,(($D44+$E44)/12),AG44)</f>
        <v>0</v>
      </c>
      <c r="AI44" s="415">
        <f t="shared" ref="AI44" si="177">IF($F44=AI$6,(($D44+$E44)/12),AH44)</f>
        <v>0</v>
      </c>
      <c r="AJ44" s="415">
        <f t="shared" ref="AJ44" si="178">IF($F44=AJ$6,(($D44+$E44)/12),AI44)</f>
        <v>0</v>
      </c>
      <c r="AK44" s="415">
        <f t="shared" ref="AK44" si="179">IF($F44=AK$6,(($D44+$E44)/12),AJ44)</f>
        <v>7500</v>
      </c>
      <c r="AL44" s="415">
        <f t="shared" ref="AL44" si="180">IF($F44=AL$6,(($D44+$E44)/12),AK44)</f>
        <v>7500</v>
      </c>
      <c r="AM44" s="415">
        <f t="shared" ref="AM44" si="181">IF($F44=AM$6,(($D44+$E44)/12),AL44)</f>
        <v>7500</v>
      </c>
      <c r="AN44" s="415">
        <f t="shared" ref="AN44" si="182">IF($F44=AN$6,(($D44+$E44)/12),AM44)</f>
        <v>7500</v>
      </c>
      <c r="AO44" s="415">
        <f t="shared" ref="AO44" si="183">IF($F44=AO$6,(($D44+$E44)/12),AN44)</f>
        <v>7500</v>
      </c>
      <c r="AP44" s="415">
        <f t="shared" ref="AP44" si="184">IF($F44=AP$6,(($D44+$E44)/12),AO44)</f>
        <v>7500</v>
      </c>
      <c r="AQ44" s="415">
        <f t="shared" ref="AQ44" si="185">IF($F44=AQ$6,(($D44+$E44)/12),AP44)</f>
        <v>7500</v>
      </c>
      <c r="AR44" s="415">
        <f t="shared" ref="AR44" si="186">IF($F44=AR$6,(($D44+$E44)/12),AQ44)</f>
        <v>7500</v>
      </c>
      <c r="AS44" s="416">
        <f t="shared" ref="AS44" si="187">SUM(AG44:AR44)</f>
        <v>60000</v>
      </c>
      <c r="AT44" s="415">
        <f t="shared" ref="AT44" si="188">IF($F44=AT$6,($D44+$E44)/12,AR44*(1+AT$8))</f>
        <v>7800</v>
      </c>
      <c r="AU44" s="415">
        <f t="shared" ref="AU44" si="189">IF($F44=AU$6,(($D44+$E44)/12),AT44)</f>
        <v>7800</v>
      </c>
      <c r="AV44" s="415">
        <f t="shared" ref="AV44" si="190">IF($F44=AV$6,(($D44+$E44)/12),AU44)</f>
        <v>7800</v>
      </c>
      <c r="AW44" s="415">
        <f t="shared" ref="AW44" si="191">IF($F44=AW$6,(($D44+$E44)/12),AV44)</f>
        <v>7800</v>
      </c>
      <c r="AX44" s="415">
        <f t="shared" ref="AX44" si="192">IF($F44=AX$6,(($D44+$E44)/12),AW44)</f>
        <v>7800</v>
      </c>
      <c r="AY44" s="415">
        <f t="shared" ref="AY44" si="193">IF($F44=AY$6,(($D44+$E44)/12),AX44)</f>
        <v>7800</v>
      </c>
      <c r="AZ44" s="415">
        <f t="shared" ref="AZ44" si="194">IF($F44=AZ$6,(($D44+$E44)/12),AY44)</f>
        <v>7800</v>
      </c>
      <c r="BA44" s="415">
        <f t="shared" ref="BA44" si="195">IF($F44=BA$6,(($D44+$E44)/12),AZ44)</f>
        <v>7800</v>
      </c>
      <c r="BB44" s="415">
        <f t="shared" ref="BB44" si="196">IF($F44=BB$6,(($D44+$E44)/12),BA44)</f>
        <v>7800</v>
      </c>
      <c r="BC44" s="415">
        <f t="shared" ref="BC44" si="197">IF($F44=BC$6,(($D44+$E44)/12),BB44)</f>
        <v>7800</v>
      </c>
      <c r="BD44" s="415">
        <f t="shared" ref="BD44" si="198">IF($F44=BD$6,(($D44+$E44)/12),BC44)</f>
        <v>7800</v>
      </c>
      <c r="BE44" s="415">
        <f t="shared" ref="BE44" si="199">IF($F44=BE$6,(($D44+$E44)/12),BD44)</f>
        <v>7800</v>
      </c>
      <c r="BF44" s="416">
        <f t="shared" ref="BF44" si="200">SUM(AT44:BE44)</f>
        <v>93600</v>
      </c>
      <c r="BG44" s="415">
        <f t="shared" ref="BG44" si="201">IF($F44=BG$6,($D44+$E44)/12,BE44*(1+BG$8))</f>
        <v>8112</v>
      </c>
      <c r="BH44" s="415">
        <f t="shared" ref="BH44" si="202">IF($F44=BH$6,(($D44+$E44)/12),BG44)</f>
        <v>8112</v>
      </c>
      <c r="BI44" s="415">
        <f t="shared" ref="BI44" si="203">IF($F44=BI$6,(($D44+$E44)/12),BH44)</f>
        <v>8112</v>
      </c>
      <c r="BJ44" s="415">
        <f t="shared" ref="BJ44" si="204">IF($F44=BJ$6,(($D44+$E44)/12),BI44)</f>
        <v>8112</v>
      </c>
      <c r="BK44" s="415">
        <f t="shared" ref="BK44" si="205">IF($F44=BK$6,(($D44+$E44)/12),BJ44)</f>
        <v>8112</v>
      </c>
      <c r="BL44" s="415">
        <f t="shared" ref="BL44" si="206">IF($F44=BL$6,(($D44+$E44)/12),BK44)</f>
        <v>8112</v>
      </c>
      <c r="BM44" s="415">
        <f t="shared" ref="BM44" si="207">IF($F44=BM$6,(($D44+$E44)/12),BL44)</f>
        <v>8112</v>
      </c>
      <c r="BN44" s="415">
        <f t="shared" ref="BN44" si="208">IF($F44=BN$6,(($D44+$E44)/12),BM44)</f>
        <v>8112</v>
      </c>
      <c r="BO44" s="415">
        <f t="shared" ref="BO44" si="209">IF($F44=BO$6,(($D44+$E44)/12),BN44)</f>
        <v>8112</v>
      </c>
      <c r="BP44" s="415">
        <f t="shared" ref="BP44" si="210">IF($F44=BP$6,(($D44+$E44)/12),BO44)</f>
        <v>8112</v>
      </c>
      <c r="BQ44" s="415">
        <f t="shared" ref="BQ44" si="211">IF($F44=BQ$6,(($D44+$E44)/12),BP44)</f>
        <v>8112</v>
      </c>
      <c r="BR44" s="415">
        <f t="shared" ref="BR44" si="212">IF($F44=BR$6,(($D44+$E44)/12),BQ44)</f>
        <v>8112</v>
      </c>
      <c r="BS44" s="416">
        <f t="shared" ref="BS44" si="213">SUM(BG44:BR44)</f>
        <v>97344</v>
      </c>
      <c r="BT44" s="415">
        <f t="shared" ref="BT44" si="214">IF($F44=BT$6,($D44+$E44)/12,BR44*(1+BT$8))</f>
        <v>8436.48</v>
      </c>
      <c r="BU44" s="415">
        <f t="shared" ref="BU44" si="215">IF($F44=BU$6,(($D44+$E44)/12),BT44)</f>
        <v>8436.48</v>
      </c>
      <c r="BV44" s="415">
        <f t="shared" ref="BV44" si="216">IF($F44=BV$6,(($D44+$E44)/12),BU44)</f>
        <v>8436.48</v>
      </c>
      <c r="BW44" s="415">
        <f t="shared" ref="BW44" si="217">IF($F44=BW$6,(($D44+$E44)/12),BV44)</f>
        <v>8436.48</v>
      </c>
      <c r="BX44" s="415">
        <f t="shared" ref="BX44" si="218">IF($F44=BX$6,(($D44+$E44)/12),BW44)</f>
        <v>8436.48</v>
      </c>
      <c r="BY44" s="415">
        <f t="shared" ref="BY44" si="219">IF($F44=BY$6,(($D44+$E44)/12),BX44)</f>
        <v>8436.48</v>
      </c>
      <c r="BZ44" s="415">
        <f t="shared" ref="BZ44" si="220">IF($F44=BZ$6,(($D44+$E44)/12),BY44)</f>
        <v>8436.48</v>
      </c>
      <c r="CA44" s="415">
        <f t="shared" ref="CA44" si="221">IF($F44=CA$6,(($D44+$E44)/12),BZ44)</f>
        <v>8436.48</v>
      </c>
      <c r="CB44" s="415">
        <f t="shared" ref="CB44" si="222">IF($F44=CB$6,(($D44+$E44)/12),CA44)</f>
        <v>8436.48</v>
      </c>
      <c r="CC44" s="415">
        <f t="shared" ref="CC44" si="223">IF($F44=CC$6,(($D44+$E44)/12),CB44)</f>
        <v>8436.48</v>
      </c>
      <c r="CD44" s="415">
        <f t="shared" ref="CD44" si="224">IF($F44=CD$6,(($D44+$E44)/12),CC44)</f>
        <v>8436.48</v>
      </c>
      <c r="CE44" s="415">
        <f t="shared" ref="CE44" si="225">IF($F44=CE$6,(($D44+$E44)/12),CD44)</f>
        <v>8436.48</v>
      </c>
      <c r="CF44" s="416">
        <f t="shared" ref="CF44" si="226">SUM(BT44:CE44)</f>
        <v>101237.75999999997</v>
      </c>
    </row>
    <row r="45" spans="1:84">
      <c r="A45" s="399"/>
      <c r="B45" s="412" t="s">
        <v>137</v>
      </c>
      <c r="C45" s="412" t="s">
        <v>611</v>
      </c>
      <c r="D45" s="413">
        <v>200000</v>
      </c>
      <c r="E45" s="413"/>
      <c r="F45" s="414" t="s">
        <v>319</v>
      </c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15"/>
      <c r="R45" s="415"/>
      <c r="S45" s="416"/>
      <c r="T45" s="415">
        <f t="shared" si="147"/>
        <v>0</v>
      </c>
      <c r="U45" s="415">
        <f t="shared" si="148"/>
        <v>0</v>
      </c>
      <c r="V45" s="415">
        <f t="shared" si="148"/>
        <v>0</v>
      </c>
      <c r="W45" s="415">
        <f t="shared" si="148"/>
        <v>0</v>
      </c>
      <c r="X45" s="415">
        <f t="shared" si="148"/>
        <v>0</v>
      </c>
      <c r="Y45" s="415">
        <f t="shared" si="148"/>
        <v>0</v>
      </c>
      <c r="Z45" s="415">
        <f t="shared" si="148"/>
        <v>0</v>
      </c>
      <c r="AA45" s="415">
        <f t="shared" si="148"/>
        <v>0</v>
      </c>
      <c r="AB45" s="415">
        <f t="shared" si="148"/>
        <v>0</v>
      </c>
      <c r="AC45" s="415">
        <f t="shared" si="148"/>
        <v>0</v>
      </c>
      <c r="AD45" s="415">
        <f t="shared" si="148"/>
        <v>0</v>
      </c>
      <c r="AE45" s="415">
        <f t="shared" si="148"/>
        <v>0</v>
      </c>
      <c r="AF45" s="416">
        <f t="shared" si="149"/>
        <v>0</v>
      </c>
      <c r="AG45" s="415">
        <f t="shared" si="150"/>
        <v>0</v>
      </c>
      <c r="AH45" s="415">
        <f t="shared" si="151"/>
        <v>0</v>
      </c>
      <c r="AI45" s="415">
        <f t="shared" si="151"/>
        <v>0</v>
      </c>
      <c r="AJ45" s="415">
        <f t="shared" si="151"/>
        <v>0</v>
      </c>
      <c r="AK45" s="415">
        <f t="shared" si="151"/>
        <v>0</v>
      </c>
      <c r="AL45" s="415">
        <f t="shared" si="151"/>
        <v>0</v>
      </c>
      <c r="AM45" s="415">
        <f t="shared" si="151"/>
        <v>0</v>
      </c>
      <c r="AN45" s="415">
        <f t="shared" si="151"/>
        <v>0</v>
      </c>
      <c r="AO45" s="415">
        <f t="shared" si="151"/>
        <v>0</v>
      </c>
      <c r="AP45" s="415">
        <f t="shared" si="151"/>
        <v>0</v>
      </c>
      <c r="AQ45" s="415">
        <f t="shared" si="151"/>
        <v>0</v>
      </c>
      <c r="AR45" s="415">
        <f t="shared" si="151"/>
        <v>0</v>
      </c>
      <c r="AS45" s="416">
        <f t="shared" si="152"/>
        <v>0</v>
      </c>
      <c r="AT45" s="415">
        <f t="shared" si="153"/>
        <v>16666.666666666668</v>
      </c>
      <c r="AU45" s="415">
        <f t="shared" si="154"/>
        <v>16666.666666666668</v>
      </c>
      <c r="AV45" s="415">
        <f t="shared" si="154"/>
        <v>16666.666666666668</v>
      </c>
      <c r="AW45" s="415">
        <f t="shared" si="154"/>
        <v>16666.666666666668</v>
      </c>
      <c r="AX45" s="415">
        <f t="shared" si="154"/>
        <v>16666.666666666668</v>
      </c>
      <c r="AY45" s="415">
        <f t="shared" si="154"/>
        <v>16666.666666666668</v>
      </c>
      <c r="AZ45" s="415">
        <f t="shared" si="154"/>
        <v>16666.666666666668</v>
      </c>
      <c r="BA45" s="415">
        <f t="shared" si="154"/>
        <v>16666.666666666668</v>
      </c>
      <c r="BB45" s="415">
        <f t="shared" si="154"/>
        <v>16666.666666666668</v>
      </c>
      <c r="BC45" s="415">
        <f t="shared" si="154"/>
        <v>16666.666666666668</v>
      </c>
      <c r="BD45" s="415">
        <f t="shared" si="154"/>
        <v>16666.666666666668</v>
      </c>
      <c r="BE45" s="415">
        <f t="shared" si="154"/>
        <v>16666.666666666668</v>
      </c>
      <c r="BF45" s="416">
        <f t="shared" si="155"/>
        <v>199999.99999999997</v>
      </c>
      <c r="BG45" s="415">
        <f t="shared" si="156"/>
        <v>17333.333333333336</v>
      </c>
      <c r="BH45" s="415">
        <f t="shared" si="157"/>
        <v>17333.333333333336</v>
      </c>
      <c r="BI45" s="415">
        <f t="shared" si="157"/>
        <v>17333.333333333336</v>
      </c>
      <c r="BJ45" s="415">
        <f t="shared" si="157"/>
        <v>17333.333333333336</v>
      </c>
      <c r="BK45" s="415">
        <f t="shared" si="157"/>
        <v>17333.333333333336</v>
      </c>
      <c r="BL45" s="415">
        <f t="shared" si="157"/>
        <v>17333.333333333336</v>
      </c>
      <c r="BM45" s="415">
        <f t="shared" si="157"/>
        <v>17333.333333333336</v>
      </c>
      <c r="BN45" s="415">
        <f t="shared" si="157"/>
        <v>17333.333333333336</v>
      </c>
      <c r="BO45" s="415">
        <f t="shared" si="157"/>
        <v>17333.333333333336</v>
      </c>
      <c r="BP45" s="415">
        <f t="shared" si="157"/>
        <v>17333.333333333336</v>
      </c>
      <c r="BQ45" s="415">
        <f t="shared" si="157"/>
        <v>17333.333333333336</v>
      </c>
      <c r="BR45" s="415">
        <f t="shared" si="157"/>
        <v>17333.333333333336</v>
      </c>
      <c r="BS45" s="416">
        <f t="shared" si="158"/>
        <v>208000.00000000009</v>
      </c>
      <c r="BT45" s="415">
        <f t="shared" si="159"/>
        <v>18026.666666666672</v>
      </c>
      <c r="BU45" s="415">
        <f t="shared" si="160"/>
        <v>18026.666666666672</v>
      </c>
      <c r="BV45" s="415">
        <f t="shared" si="160"/>
        <v>18026.666666666672</v>
      </c>
      <c r="BW45" s="415">
        <f t="shared" si="160"/>
        <v>18026.666666666672</v>
      </c>
      <c r="BX45" s="415">
        <f t="shared" si="160"/>
        <v>18026.666666666672</v>
      </c>
      <c r="BY45" s="415">
        <f t="shared" si="160"/>
        <v>18026.666666666672</v>
      </c>
      <c r="BZ45" s="415">
        <f t="shared" si="160"/>
        <v>18026.666666666672</v>
      </c>
      <c r="CA45" s="415">
        <f t="shared" si="160"/>
        <v>18026.666666666672</v>
      </c>
      <c r="CB45" s="415">
        <f t="shared" si="160"/>
        <v>18026.666666666672</v>
      </c>
      <c r="CC45" s="415">
        <f t="shared" si="160"/>
        <v>18026.666666666672</v>
      </c>
      <c r="CD45" s="415">
        <f t="shared" si="160"/>
        <v>18026.666666666672</v>
      </c>
      <c r="CE45" s="415">
        <f t="shared" si="160"/>
        <v>18026.666666666672</v>
      </c>
      <c r="CF45" s="416">
        <f t="shared" si="161"/>
        <v>216320.00000000012</v>
      </c>
    </row>
    <row r="46" spans="1:84">
      <c r="A46" s="399"/>
      <c r="B46" s="412" t="s">
        <v>137</v>
      </c>
      <c r="C46" s="412" t="s">
        <v>612</v>
      </c>
      <c r="D46" s="413">
        <v>180000</v>
      </c>
      <c r="E46" s="413"/>
      <c r="F46" s="414" t="s">
        <v>310</v>
      </c>
      <c r="G46" s="415"/>
      <c r="H46" s="415"/>
      <c r="I46" s="415"/>
      <c r="J46" s="415"/>
      <c r="K46" s="415"/>
      <c r="L46" s="415"/>
      <c r="M46" s="415"/>
      <c r="N46" s="415"/>
      <c r="O46" s="415"/>
      <c r="P46" s="415"/>
      <c r="Q46" s="415"/>
      <c r="R46" s="415"/>
      <c r="S46" s="416"/>
      <c r="T46" s="415">
        <f t="shared" si="147"/>
        <v>0</v>
      </c>
      <c r="U46" s="415">
        <f t="shared" si="148"/>
        <v>0</v>
      </c>
      <c r="V46" s="415">
        <f t="shared" si="148"/>
        <v>0</v>
      </c>
      <c r="W46" s="415">
        <f t="shared" si="148"/>
        <v>0</v>
      </c>
      <c r="X46" s="415">
        <f t="shared" si="148"/>
        <v>0</v>
      </c>
      <c r="Y46" s="415">
        <f t="shared" si="148"/>
        <v>0</v>
      </c>
      <c r="Z46" s="415">
        <f t="shared" si="148"/>
        <v>0</v>
      </c>
      <c r="AA46" s="415">
        <f t="shared" si="148"/>
        <v>0</v>
      </c>
      <c r="AB46" s="415">
        <f t="shared" si="148"/>
        <v>0</v>
      </c>
      <c r="AC46" s="415">
        <f t="shared" si="148"/>
        <v>0</v>
      </c>
      <c r="AD46" s="415">
        <f t="shared" si="148"/>
        <v>0</v>
      </c>
      <c r="AE46" s="415">
        <f t="shared" si="148"/>
        <v>0</v>
      </c>
      <c r="AF46" s="416">
        <f t="shared" si="149"/>
        <v>0</v>
      </c>
      <c r="AG46" s="415">
        <f t="shared" si="150"/>
        <v>0</v>
      </c>
      <c r="AH46" s="415">
        <f t="shared" si="151"/>
        <v>0</v>
      </c>
      <c r="AI46" s="415">
        <f t="shared" si="151"/>
        <v>0</v>
      </c>
      <c r="AJ46" s="415">
        <f t="shared" si="151"/>
        <v>15000</v>
      </c>
      <c r="AK46" s="415">
        <f t="shared" si="151"/>
        <v>15000</v>
      </c>
      <c r="AL46" s="415">
        <f t="shared" si="151"/>
        <v>15000</v>
      </c>
      <c r="AM46" s="415">
        <f t="shared" si="151"/>
        <v>15000</v>
      </c>
      <c r="AN46" s="415">
        <f t="shared" si="151"/>
        <v>15000</v>
      </c>
      <c r="AO46" s="415">
        <f t="shared" si="151"/>
        <v>15000</v>
      </c>
      <c r="AP46" s="415">
        <f t="shared" si="151"/>
        <v>15000</v>
      </c>
      <c r="AQ46" s="415">
        <f t="shared" si="151"/>
        <v>15000</v>
      </c>
      <c r="AR46" s="415">
        <f t="shared" si="151"/>
        <v>15000</v>
      </c>
      <c r="AS46" s="416">
        <f t="shared" si="152"/>
        <v>135000</v>
      </c>
      <c r="AT46" s="415">
        <f t="shared" si="153"/>
        <v>15600</v>
      </c>
      <c r="AU46" s="415">
        <f t="shared" si="154"/>
        <v>15600</v>
      </c>
      <c r="AV46" s="415">
        <f t="shared" si="154"/>
        <v>15600</v>
      </c>
      <c r="AW46" s="415">
        <f t="shared" si="154"/>
        <v>15600</v>
      </c>
      <c r="AX46" s="415">
        <f t="shared" si="154"/>
        <v>15600</v>
      </c>
      <c r="AY46" s="415">
        <f t="shared" si="154"/>
        <v>15600</v>
      </c>
      <c r="AZ46" s="415">
        <f t="shared" si="154"/>
        <v>15600</v>
      </c>
      <c r="BA46" s="415">
        <f t="shared" si="154"/>
        <v>15600</v>
      </c>
      <c r="BB46" s="415">
        <f t="shared" si="154"/>
        <v>15600</v>
      </c>
      <c r="BC46" s="415">
        <f t="shared" si="154"/>
        <v>15600</v>
      </c>
      <c r="BD46" s="415">
        <f t="shared" si="154"/>
        <v>15600</v>
      </c>
      <c r="BE46" s="415">
        <f t="shared" si="154"/>
        <v>15600</v>
      </c>
      <c r="BF46" s="416">
        <f t="shared" si="155"/>
        <v>187200</v>
      </c>
      <c r="BG46" s="415">
        <f t="shared" si="156"/>
        <v>16224</v>
      </c>
      <c r="BH46" s="415">
        <f t="shared" si="157"/>
        <v>16224</v>
      </c>
      <c r="BI46" s="415">
        <f t="shared" si="157"/>
        <v>16224</v>
      </c>
      <c r="BJ46" s="415">
        <f t="shared" si="157"/>
        <v>16224</v>
      </c>
      <c r="BK46" s="415">
        <f t="shared" si="157"/>
        <v>16224</v>
      </c>
      <c r="BL46" s="415">
        <f t="shared" si="157"/>
        <v>16224</v>
      </c>
      <c r="BM46" s="415">
        <f t="shared" si="157"/>
        <v>16224</v>
      </c>
      <c r="BN46" s="415">
        <f t="shared" si="157"/>
        <v>16224</v>
      </c>
      <c r="BO46" s="415">
        <f t="shared" si="157"/>
        <v>16224</v>
      </c>
      <c r="BP46" s="415">
        <f t="shared" si="157"/>
        <v>16224</v>
      </c>
      <c r="BQ46" s="415">
        <f t="shared" si="157"/>
        <v>16224</v>
      </c>
      <c r="BR46" s="415">
        <f t="shared" si="157"/>
        <v>16224</v>
      </c>
      <c r="BS46" s="416">
        <f t="shared" si="158"/>
        <v>194688</v>
      </c>
      <c r="BT46" s="415">
        <f t="shared" si="159"/>
        <v>16872.96</v>
      </c>
      <c r="BU46" s="415">
        <f t="shared" si="160"/>
        <v>16872.96</v>
      </c>
      <c r="BV46" s="415">
        <f t="shared" si="160"/>
        <v>16872.96</v>
      </c>
      <c r="BW46" s="415">
        <f t="shared" si="160"/>
        <v>16872.96</v>
      </c>
      <c r="BX46" s="415">
        <f t="shared" si="160"/>
        <v>16872.96</v>
      </c>
      <c r="BY46" s="415">
        <f t="shared" si="160"/>
        <v>16872.96</v>
      </c>
      <c r="BZ46" s="415">
        <f t="shared" si="160"/>
        <v>16872.96</v>
      </c>
      <c r="CA46" s="415">
        <f t="shared" si="160"/>
        <v>16872.96</v>
      </c>
      <c r="CB46" s="415">
        <f t="shared" si="160"/>
        <v>16872.96</v>
      </c>
      <c r="CC46" s="415">
        <f t="shared" si="160"/>
        <v>16872.96</v>
      </c>
      <c r="CD46" s="415">
        <f t="shared" si="160"/>
        <v>16872.96</v>
      </c>
      <c r="CE46" s="415">
        <f t="shared" si="160"/>
        <v>16872.96</v>
      </c>
      <c r="CF46" s="416">
        <f t="shared" si="161"/>
        <v>202475.51999999993</v>
      </c>
    </row>
    <row r="47" spans="1:84">
      <c r="A47" s="399"/>
      <c r="B47" s="412" t="s">
        <v>137</v>
      </c>
      <c r="C47" s="412" t="s">
        <v>613</v>
      </c>
      <c r="D47" s="413">
        <v>150000</v>
      </c>
      <c r="E47" s="413"/>
      <c r="F47" s="414" t="s">
        <v>312</v>
      </c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6"/>
      <c r="T47" s="415">
        <f t="shared" si="147"/>
        <v>0</v>
      </c>
      <c r="U47" s="415">
        <f t="shared" si="148"/>
        <v>0</v>
      </c>
      <c r="V47" s="415">
        <f t="shared" si="148"/>
        <v>0</v>
      </c>
      <c r="W47" s="415">
        <f t="shared" si="148"/>
        <v>0</v>
      </c>
      <c r="X47" s="415">
        <f t="shared" si="148"/>
        <v>0</v>
      </c>
      <c r="Y47" s="415">
        <f t="shared" si="148"/>
        <v>0</v>
      </c>
      <c r="Z47" s="415">
        <f t="shared" si="148"/>
        <v>0</v>
      </c>
      <c r="AA47" s="415">
        <f t="shared" si="148"/>
        <v>0</v>
      </c>
      <c r="AB47" s="415">
        <f t="shared" si="148"/>
        <v>0</v>
      </c>
      <c r="AC47" s="415">
        <f t="shared" si="148"/>
        <v>0</v>
      </c>
      <c r="AD47" s="415">
        <f t="shared" si="148"/>
        <v>0</v>
      </c>
      <c r="AE47" s="415">
        <f t="shared" si="148"/>
        <v>0</v>
      </c>
      <c r="AF47" s="416">
        <f t="shared" si="149"/>
        <v>0</v>
      </c>
      <c r="AG47" s="415">
        <f t="shared" si="150"/>
        <v>0</v>
      </c>
      <c r="AH47" s="415">
        <f t="shared" si="151"/>
        <v>0</v>
      </c>
      <c r="AI47" s="415">
        <f t="shared" si="151"/>
        <v>0</v>
      </c>
      <c r="AJ47" s="415">
        <f t="shared" si="151"/>
        <v>0</v>
      </c>
      <c r="AK47" s="415">
        <f t="shared" si="151"/>
        <v>0</v>
      </c>
      <c r="AL47" s="415">
        <f t="shared" si="151"/>
        <v>12500</v>
      </c>
      <c r="AM47" s="415">
        <f t="shared" si="151"/>
        <v>12500</v>
      </c>
      <c r="AN47" s="415">
        <f t="shared" si="151"/>
        <v>12500</v>
      </c>
      <c r="AO47" s="415">
        <f t="shared" si="151"/>
        <v>12500</v>
      </c>
      <c r="AP47" s="415">
        <f t="shared" si="151"/>
        <v>12500</v>
      </c>
      <c r="AQ47" s="415">
        <f t="shared" si="151"/>
        <v>12500</v>
      </c>
      <c r="AR47" s="415">
        <f t="shared" si="151"/>
        <v>12500</v>
      </c>
      <c r="AS47" s="416">
        <f t="shared" si="152"/>
        <v>87500</v>
      </c>
      <c r="AT47" s="415">
        <f t="shared" si="153"/>
        <v>13000</v>
      </c>
      <c r="AU47" s="415">
        <f t="shared" si="154"/>
        <v>13000</v>
      </c>
      <c r="AV47" s="415">
        <f t="shared" si="154"/>
        <v>13000</v>
      </c>
      <c r="AW47" s="415">
        <f t="shared" si="154"/>
        <v>13000</v>
      </c>
      <c r="AX47" s="415">
        <f t="shared" si="154"/>
        <v>13000</v>
      </c>
      <c r="AY47" s="415">
        <f t="shared" si="154"/>
        <v>13000</v>
      </c>
      <c r="AZ47" s="415">
        <f t="shared" si="154"/>
        <v>13000</v>
      </c>
      <c r="BA47" s="415">
        <f t="shared" si="154"/>
        <v>13000</v>
      </c>
      <c r="BB47" s="415">
        <f t="shared" si="154"/>
        <v>13000</v>
      </c>
      <c r="BC47" s="415">
        <f t="shared" si="154"/>
        <v>13000</v>
      </c>
      <c r="BD47" s="415">
        <f t="shared" si="154"/>
        <v>13000</v>
      </c>
      <c r="BE47" s="415">
        <f t="shared" si="154"/>
        <v>13000</v>
      </c>
      <c r="BF47" s="416">
        <f t="shared" si="155"/>
        <v>156000</v>
      </c>
      <c r="BG47" s="415">
        <f t="shared" si="156"/>
        <v>13520</v>
      </c>
      <c r="BH47" s="415">
        <f t="shared" si="157"/>
        <v>13520</v>
      </c>
      <c r="BI47" s="415">
        <f t="shared" si="157"/>
        <v>13520</v>
      </c>
      <c r="BJ47" s="415">
        <f t="shared" si="157"/>
        <v>13520</v>
      </c>
      <c r="BK47" s="415">
        <f t="shared" si="157"/>
        <v>13520</v>
      </c>
      <c r="BL47" s="415">
        <f t="shared" si="157"/>
        <v>13520</v>
      </c>
      <c r="BM47" s="415">
        <f t="shared" si="157"/>
        <v>13520</v>
      </c>
      <c r="BN47" s="415">
        <f t="shared" si="157"/>
        <v>13520</v>
      </c>
      <c r="BO47" s="415">
        <f t="shared" si="157"/>
        <v>13520</v>
      </c>
      <c r="BP47" s="415">
        <f t="shared" si="157"/>
        <v>13520</v>
      </c>
      <c r="BQ47" s="415">
        <f t="shared" si="157"/>
        <v>13520</v>
      </c>
      <c r="BR47" s="415">
        <f t="shared" si="157"/>
        <v>13520</v>
      </c>
      <c r="BS47" s="416">
        <f t="shared" si="158"/>
        <v>162240</v>
      </c>
      <c r="BT47" s="415">
        <f t="shared" si="159"/>
        <v>14060.800000000001</v>
      </c>
      <c r="BU47" s="415">
        <f t="shared" si="160"/>
        <v>14060.800000000001</v>
      </c>
      <c r="BV47" s="415">
        <f t="shared" si="160"/>
        <v>14060.800000000001</v>
      </c>
      <c r="BW47" s="415">
        <f t="shared" si="160"/>
        <v>14060.800000000001</v>
      </c>
      <c r="BX47" s="415">
        <f t="shared" si="160"/>
        <v>14060.800000000001</v>
      </c>
      <c r="BY47" s="415">
        <f t="shared" si="160"/>
        <v>14060.800000000001</v>
      </c>
      <c r="BZ47" s="415">
        <f t="shared" si="160"/>
        <v>14060.800000000001</v>
      </c>
      <c r="CA47" s="415">
        <f t="shared" si="160"/>
        <v>14060.800000000001</v>
      </c>
      <c r="CB47" s="415">
        <f t="shared" si="160"/>
        <v>14060.800000000001</v>
      </c>
      <c r="CC47" s="415">
        <f t="shared" si="160"/>
        <v>14060.800000000001</v>
      </c>
      <c r="CD47" s="415">
        <f t="shared" si="160"/>
        <v>14060.800000000001</v>
      </c>
      <c r="CE47" s="415">
        <f t="shared" si="160"/>
        <v>14060.800000000001</v>
      </c>
      <c r="CF47" s="416">
        <f t="shared" si="161"/>
        <v>168729.59999999998</v>
      </c>
    </row>
    <row r="48" spans="1:84">
      <c r="A48" s="399"/>
      <c r="B48" s="412" t="s">
        <v>137</v>
      </c>
      <c r="C48" s="420" t="s">
        <v>614</v>
      </c>
      <c r="D48" s="423">
        <v>150000</v>
      </c>
      <c r="E48" s="413"/>
      <c r="F48" s="414" t="s">
        <v>319</v>
      </c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6"/>
      <c r="T48" s="415">
        <f t="shared" si="147"/>
        <v>0</v>
      </c>
      <c r="U48" s="415">
        <f t="shared" si="148"/>
        <v>0</v>
      </c>
      <c r="V48" s="415">
        <f t="shared" si="148"/>
        <v>0</v>
      </c>
      <c r="W48" s="415">
        <f t="shared" si="148"/>
        <v>0</v>
      </c>
      <c r="X48" s="415">
        <f t="shared" si="148"/>
        <v>0</v>
      </c>
      <c r="Y48" s="415">
        <f t="shared" si="148"/>
        <v>0</v>
      </c>
      <c r="Z48" s="415">
        <f t="shared" si="148"/>
        <v>0</v>
      </c>
      <c r="AA48" s="415">
        <f t="shared" si="148"/>
        <v>0</v>
      </c>
      <c r="AB48" s="415">
        <f t="shared" si="148"/>
        <v>0</v>
      </c>
      <c r="AC48" s="415">
        <f t="shared" si="148"/>
        <v>0</v>
      </c>
      <c r="AD48" s="415">
        <f t="shared" si="148"/>
        <v>0</v>
      </c>
      <c r="AE48" s="415">
        <f t="shared" si="148"/>
        <v>0</v>
      </c>
      <c r="AF48" s="416">
        <f t="shared" si="149"/>
        <v>0</v>
      </c>
      <c r="AG48" s="415">
        <f t="shared" si="150"/>
        <v>0</v>
      </c>
      <c r="AH48" s="415">
        <f t="shared" si="151"/>
        <v>0</v>
      </c>
      <c r="AI48" s="415">
        <f t="shared" si="151"/>
        <v>0</v>
      </c>
      <c r="AJ48" s="415">
        <f t="shared" si="151"/>
        <v>0</v>
      </c>
      <c r="AK48" s="415">
        <f t="shared" si="151"/>
        <v>0</v>
      </c>
      <c r="AL48" s="415">
        <f t="shared" si="151"/>
        <v>0</v>
      </c>
      <c r="AM48" s="415">
        <f t="shared" si="151"/>
        <v>0</v>
      </c>
      <c r="AN48" s="415">
        <f t="shared" si="151"/>
        <v>0</v>
      </c>
      <c r="AO48" s="415">
        <f t="shared" si="151"/>
        <v>0</v>
      </c>
      <c r="AP48" s="415">
        <f t="shared" si="151"/>
        <v>0</v>
      </c>
      <c r="AQ48" s="415">
        <f t="shared" si="151"/>
        <v>0</v>
      </c>
      <c r="AR48" s="415">
        <f t="shared" si="151"/>
        <v>0</v>
      </c>
      <c r="AS48" s="416">
        <f t="shared" si="152"/>
        <v>0</v>
      </c>
      <c r="AT48" s="415">
        <f t="shared" si="153"/>
        <v>12500</v>
      </c>
      <c r="AU48" s="415">
        <f t="shared" si="154"/>
        <v>12500</v>
      </c>
      <c r="AV48" s="415">
        <f t="shared" si="154"/>
        <v>12500</v>
      </c>
      <c r="AW48" s="415">
        <f t="shared" si="154"/>
        <v>12500</v>
      </c>
      <c r="AX48" s="415">
        <f t="shared" si="154"/>
        <v>12500</v>
      </c>
      <c r="AY48" s="415">
        <f t="shared" si="154"/>
        <v>12500</v>
      </c>
      <c r="AZ48" s="415">
        <f t="shared" si="154"/>
        <v>12500</v>
      </c>
      <c r="BA48" s="415">
        <f t="shared" si="154"/>
        <v>12500</v>
      </c>
      <c r="BB48" s="415">
        <f t="shared" si="154"/>
        <v>12500</v>
      </c>
      <c r="BC48" s="415">
        <f t="shared" si="154"/>
        <v>12500</v>
      </c>
      <c r="BD48" s="415">
        <f t="shared" si="154"/>
        <v>12500</v>
      </c>
      <c r="BE48" s="415">
        <f t="shared" si="154"/>
        <v>12500</v>
      </c>
      <c r="BF48" s="416">
        <f t="shared" si="155"/>
        <v>150000</v>
      </c>
      <c r="BG48" s="415">
        <f t="shared" si="156"/>
        <v>13000</v>
      </c>
      <c r="BH48" s="415">
        <f t="shared" si="157"/>
        <v>13000</v>
      </c>
      <c r="BI48" s="415">
        <f t="shared" si="157"/>
        <v>13000</v>
      </c>
      <c r="BJ48" s="415">
        <f t="shared" si="157"/>
        <v>13000</v>
      </c>
      <c r="BK48" s="415">
        <f t="shared" si="157"/>
        <v>13000</v>
      </c>
      <c r="BL48" s="415">
        <f t="shared" si="157"/>
        <v>13000</v>
      </c>
      <c r="BM48" s="415">
        <f t="shared" si="157"/>
        <v>13000</v>
      </c>
      <c r="BN48" s="415">
        <f t="shared" si="157"/>
        <v>13000</v>
      </c>
      <c r="BO48" s="415">
        <f t="shared" si="157"/>
        <v>13000</v>
      </c>
      <c r="BP48" s="415">
        <f t="shared" si="157"/>
        <v>13000</v>
      </c>
      <c r="BQ48" s="415">
        <f t="shared" si="157"/>
        <v>13000</v>
      </c>
      <c r="BR48" s="415">
        <f t="shared" si="157"/>
        <v>13000</v>
      </c>
      <c r="BS48" s="416">
        <f t="shared" si="158"/>
        <v>156000</v>
      </c>
      <c r="BT48" s="415">
        <f t="shared" si="159"/>
        <v>13520</v>
      </c>
      <c r="BU48" s="415">
        <f t="shared" si="160"/>
        <v>13520</v>
      </c>
      <c r="BV48" s="415">
        <f t="shared" si="160"/>
        <v>13520</v>
      </c>
      <c r="BW48" s="415">
        <f t="shared" si="160"/>
        <v>13520</v>
      </c>
      <c r="BX48" s="415">
        <f t="shared" si="160"/>
        <v>13520</v>
      </c>
      <c r="BY48" s="415">
        <f t="shared" si="160"/>
        <v>13520</v>
      </c>
      <c r="BZ48" s="415">
        <f t="shared" si="160"/>
        <v>13520</v>
      </c>
      <c r="CA48" s="415">
        <f t="shared" si="160"/>
        <v>13520</v>
      </c>
      <c r="CB48" s="415">
        <f t="shared" si="160"/>
        <v>13520</v>
      </c>
      <c r="CC48" s="415">
        <f t="shared" si="160"/>
        <v>13520</v>
      </c>
      <c r="CD48" s="415">
        <f t="shared" si="160"/>
        <v>13520</v>
      </c>
      <c r="CE48" s="415">
        <f t="shared" si="160"/>
        <v>13520</v>
      </c>
      <c r="CF48" s="416">
        <f t="shared" si="161"/>
        <v>162240</v>
      </c>
    </row>
    <row r="49" spans="1:84">
      <c r="A49" s="399"/>
      <c r="B49" s="479" t="s">
        <v>895</v>
      </c>
      <c r="C49" s="420" t="s">
        <v>615</v>
      </c>
      <c r="D49" s="423">
        <v>85000</v>
      </c>
      <c r="E49" s="413"/>
      <c r="F49" s="414" t="s">
        <v>52</v>
      </c>
      <c r="G49" s="415"/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6"/>
      <c r="T49" s="415">
        <f t="shared" si="147"/>
        <v>0</v>
      </c>
      <c r="U49" s="415">
        <f t="shared" si="148"/>
        <v>0</v>
      </c>
      <c r="V49" s="415">
        <f t="shared" si="148"/>
        <v>0</v>
      </c>
      <c r="W49" s="415">
        <f t="shared" si="148"/>
        <v>7083.333333333333</v>
      </c>
      <c r="X49" s="415">
        <f t="shared" si="148"/>
        <v>7083.333333333333</v>
      </c>
      <c r="Y49" s="415">
        <f t="shared" si="148"/>
        <v>7083.333333333333</v>
      </c>
      <c r="Z49" s="415">
        <f t="shared" si="148"/>
        <v>7083.333333333333</v>
      </c>
      <c r="AA49" s="415">
        <f t="shared" si="148"/>
        <v>7083.333333333333</v>
      </c>
      <c r="AB49" s="415">
        <f t="shared" si="148"/>
        <v>7083.333333333333</v>
      </c>
      <c r="AC49" s="415">
        <f t="shared" si="148"/>
        <v>7083.333333333333</v>
      </c>
      <c r="AD49" s="415">
        <f t="shared" si="148"/>
        <v>7083.333333333333</v>
      </c>
      <c r="AE49" s="415">
        <f t="shared" si="148"/>
        <v>7083.333333333333</v>
      </c>
      <c r="AF49" s="416">
        <f t="shared" si="149"/>
        <v>63750.000000000007</v>
      </c>
      <c r="AG49" s="415">
        <f t="shared" si="150"/>
        <v>7366.666666666667</v>
      </c>
      <c r="AH49" s="415">
        <f t="shared" si="151"/>
        <v>7366.666666666667</v>
      </c>
      <c r="AI49" s="415">
        <f t="shared" si="151"/>
        <v>7366.666666666667</v>
      </c>
      <c r="AJ49" s="415">
        <f t="shared" si="151"/>
        <v>7366.666666666667</v>
      </c>
      <c r="AK49" s="415">
        <f t="shared" si="151"/>
        <v>7366.666666666667</v>
      </c>
      <c r="AL49" s="415">
        <f t="shared" si="151"/>
        <v>7366.666666666667</v>
      </c>
      <c r="AM49" s="415">
        <f t="shared" si="151"/>
        <v>7366.666666666667</v>
      </c>
      <c r="AN49" s="415">
        <f t="shared" si="151"/>
        <v>7366.666666666667</v>
      </c>
      <c r="AO49" s="415">
        <f t="shared" si="151"/>
        <v>7366.666666666667</v>
      </c>
      <c r="AP49" s="415">
        <f t="shared" si="151"/>
        <v>7366.666666666667</v>
      </c>
      <c r="AQ49" s="415">
        <f t="shared" si="151"/>
        <v>7366.666666666667</v>
      </c>
      <c r="AR49" s="415">
        <f t="shared" si="151"/>
        <v>7366.666666666667</v>
      </c>
      <c r="AS49" s="416">
        <f t="shared" si="152"/>
        <v>88400.000000000015</v>
      </c>
      <c r="AT49" s="415">
        <f t="shared" si="153"/>
        <v>7661.3333333333339</v>
      </c>
      <c r="AU49" s="415">
        <f t="shared" si="154"/>
        <v>7661.3333333333339</v>
      </c>
      <c r="AV49" s="415">
        <f t="shared" si="154"/>
        <v>7661.3333333333339</v>
      </c>
      <c r="AW49" s="415">
        <f t="shared" si="154"/>
        <v>7661.3333333333339</v>
      </c>
      <c r="AX49" s="415">
        <f t="shared" si="154"/>
        <v>7661.3333333333339</v>
      </c>
      <c r="AY49" s="415">
        <f t="shared" si="154"/>
        <v>7661.3333333333339</v>
      </c>
      <c r="AZ49" s="415">
        <f t="shared" si="154"/>
        <v>7661.3333333333339</v>
      </c>
      <c r="BA49" s="415">
        <f t="shared" si="154"/>
        <v>7661.3333333333339</v>
      </c>
      <c r="BB49" s="415">
        <f t="shared" si="154"/>
        <v>7661.3333333333339</v>
      </c>
      <c r="BC49" s="415">
        <f t="shared" si="154"/>
        <v>7661.3333333333339</v>
      </c>
      <c r="BD49" s="415">
        <f t="shared" si="154"/>
        <v>7661.3333333333339</v>
      </c>
      <c r="BE49" s="415">
        <f t="shared" si="154"/>
        <v>7661.3333333333339</v>
      </c>
      <c r="BF49" s="416">
        <f t="shared" si="155"/>
        <v>91936</v>
      </c>
      <c r="BG49" s="415">
        <f t="shared" si="156"/>
        <v>7967.7866666666678</v>
      </c>
      <c r="BH49" s="415">
        <f t="shared" si="157"/>
        <v>7967.7866666666678</v>
      </c>
      <c r="BI49" s="415">
        <f t="shared" si="157"/>
        <v>7967.7866666666678</v>
      </c>
      <c r="BJ49" s="415">
        <f t="shared" si="157"/>
        <v>7967.7866666666678</v>
      </c>
      <c r="BK49" s="415">
        <f t="shared" si="157"/>
        <v>7967.7866666666678</v>
      </c>
      <c r="BL49" s="415">
        <f t="shared" si="157"/>
        <v>7967.7866666666678</v>
      </c>
      <c r="BM49" s="415">
        <f t="shared" si="157"/>
        <v>7967.7866666666678</v>
      </c>
      <c r="BN49" s="415">
        <f t="shared" si="157"/>
        <v>7967.7866666666678</v>
      </c>
      <c r="BO49" s="415">
        <f t="shared" si="157"/>
        <v>7967.7866666666678</v>
      </c>
      <c r="BP49" s="415">
        <f t="shared" si="157"/>
        <v>7967.7866666666678</v>
      </c>
      <c r="BQ49" s="415">
        <f t="shared" si="157"/>
        <v>7967.7866666666678</v>
      </c>
      <c r="BR49" s="415">
        <f t="shared" si="157"/>
        <v>7967.7866666666678</v>
      </c>
      <c r="BS49" s="416">
        <f t="shared" si="158"/>
        <v>95613.440000000017</v>
      </c>
      <c r="BT49" s="415">
        <f t="shared" si="159"/>
        <v>8286.4981333333344</v>
      </c>
      <c r="BU49" s="415">
        <f t="shared" si="160"/>
        <v>8286.4981333333344</v>
      </c>
      <c r="BV49" s="415">
        <f t="shared" si="160"/>
        <v>8286.4981333333344</v>
      </c>
      <c r="BW49" s="415">
        <f t="shared" si="160"/>
        <v>8286.4981333333344</v>
      </c>
      <c r="BX49" s="415">
        <f t="shared" si="160"/>
        <v>8286.4981333333344</v>
      </c>
      <c r="BY49" s="415">
        <f t="shared" si="160"/>
        <v>8286.4981333333344</v>
      </c>
      <c r="BZ49" s="415">
        <f t="shared" si="160"/>
        <v>8286.4981333333344</v>
      </c>
      <c r="CA49" s="415">
        <f t="shared" si="160"/>
        <v>8286.4981333333344</v>
      </c>
      <c r="CB49" s="415">
        <f t="shared" si="160"/>
        <v>8286.4981333333344</v>
      </c>
      <c r="CC49" s="415">
        <f t="shared" si="160"/>
        <v>8286.4981333333344</v>
      </c>
      <c r="CD49" s="415">
        <f t="shared" si="160"/>
        <v>8286.4981333333344</v>
      </c>
      <c r="CE49" s="415">
        <f t="shared" si="160"/>
        <v>8286.4981333333344</v>
      </c>
      <c r="CF49" s="416">
        <f t="shared" si="161"/>
        <v>99437.977600000042</v>
      </c>
    </row>
    <row r="50" spans="1:84">
      <c r="A50" s="399"/>
      <c r="B50" s="412" t="s">
        <v>137</v>
      </c>
      <c r="C50" s="420" t="s">
        <v>616</v>
      </c>
      <c r="D50" s="423">
        <v>150000</v>
      </c>
      <c r="E50" s="413"/>
      <c r="F50" s="414" t="s">
        <v>319</v>
      </c>
      <c r="G50" s="415"/>
      <c r="H50" s="415"/>
      <c r="I50" s="415"/>
      <c r="J50" s="415"/>
      <c r="K50" s="415"/>
      <c r="L50" s="415"/>
      <c r="M50" s="415"/>
      <c r="N50" s="415"/>
      <c r="O50" s="415"/>
      <c r="P50" s="415"/>
      <c r="Q50" s="415"/>
      <c r="R50" s="415"/>
      <c r="S50" s="416"/>
      <c r="T50" s="415">
        <f t="shared" si="147"/>
        <v>0</v>
      </c>
      <c r="U50" s="415">
        <f t="shared" si="148"/>
        <v>0</v>
      </c>
      <c r="V50" s="415">
        <f t="shared" si="148"/>
        <v>0</v>
      </c>
      <c r="W50" s="415">
        <f t="shared" si="148"/>
        <v>0</v>
      </c>
      <c r="X50" s="415">
        <f t="shared" si="148"/>
        <v>0</v>
      </c>
      <c r="Y50" s="415">
        <f t="shared" si="148"/>
        <v>0</v>
      </c>
      <c r="Z50" s="415">
        <f t="shared" si="148"/>
        <v>0</v>
      </c>
      <c r="AA50" s="415">
        <f t="shared" si="148"/>
        <v>0</v>
      </c>
      <c r="AB50" s="415">
        <f t="shared" si="148"/>
        <v>0</v>
      </c>
      <c r="AC50" s="415">
        <f t="shared" si="148"/>
        <v>0</v>
      </c>
      <c r="AD50" s="415">
        <f t="shared" si="148"/>
        <v>0</v>
      </c>
      <c r="AE50" s="415">
        <f t="shared" si="148"/>
        <v>0</v>
      </c>
      <c r="AF50" s="416">
        <f t="shared" si="149"/>
        <v>0</v>
      </c>
      <c r="AG50" s="415">
        <f t="shared" si="150"/>
        <v>0</v>
      </c>
      <c r="AH50" s="415">
        <f t="shared" si="151"/>
        <v>0</v>
      </c>
      <c r="AI50" s="415">
        <f t="shared" si="151"/>
        <v>0</v>
      </c>
      <c r="AJ50" s="415">
        <f t="shared" si="151"/>
        <v>0</v>
      </c>
      <c r="AK50" s="415">
        <f t="shared" si="151"/>
        <v>0</v>
      </c>
      <c r="AL50" s="415">
        <f t="shared" si="151"/>
        <v>0</v>
      </c>
      <c r="AM50" s="415">
        <f t="shared" si="151"/>
        <v>0</v>
      </c>
      <c r="AN50" s="415">
        <f t="shared" si="151"/>
        <v>0</v>
      </c>
      <c r="AO50" s="415">
        <f t="shared" si="151"/>
        <v>0</v>
      </c>
      <c r="AP50" s="415">
        <f t="shared" si="151"/>
        <v>0</v>
      </c>
      <c r="AQ50" s="415">
        <f t="shared" si="151"/>
        <v>0</v>
      </c>
      <c r="AR50" s="415">
        <f t="shared" si="151"/>
        <v>0</v>
      </c>
      <c r="AS50" s="416">
        <f t="shared" si="152"/>
        <v>0</v>
      </c>
      <c r="AT50" s="415">
        <f t="shared" si="153"/>
        <v>12500</v>
      </c>
      <c r="AU50" s="415">
        <f t="shared" si="154"/>
        <v>12500</v>
      </c>
      <c r="AV50" s="415">
        <f t="shared" si="154"/>
        <v>12500</v>
      </c>
      <c r="AW50" s="415">
        <f t="shared" si="154"/>
        <v>12500</v>
      </c>
      <c r="AX50" s="415">
        <f t="shared" si="154"/>
        <v>12500</v>
      </c>
      <c r="AY50" s="415">
        <f t="shared" si="154"/>
        <v>12500</v>
      </c>
      <c r="AZ50" s="415">
        <f t="shared" si="154"/>
        <v>12500</v>
      </c>
      <c r="BA50" s="415">
        <f t="shared" si="154"/>
        <v>12500</v>
      </c>
      <c r="BB50" s="415">
        <f t="shared" si="154"/>
        <v>12500</v>
      </c>
      <c r="BC50" s="415">
        <f t="shared" si="154"/>
        <v>12500</v>
      </c>
      <c r="BD50" s="415">
        <f t="shared" si="154"/>
        <v>12500</v>
      </c>
      <c r="BE50" s="415">
        <f t="shared" si="154"/>
        <v>12500</v>
      </c>
      <c r="BF50" s="416">
        <f t="shared" si="155"/>
        <v>150000</v>
      </c>
      <c r="BG50" s="415">
        <f t="shared" si="156"/>
        <v>13000</v>
      </c>
      <c r="BH50" s="415">
        <f t="shared" si="157"/>
        <v>13000</v>
      </c>
      <c r="BI50" s="415">
        <f t="shared" si="157"/>
        <v>13000</v>
      </c>
      <c r="BJ50" s="415">
        <f t="shared" si="157"/>
        <v>13000</v>
      </c>
      <c r="BK50" s="415">
        <f t="shared" si="157"/>
        <v>13000</v>
      </c>
      <c r="BL50" s="415">
        <f t="shared" si="157"/>
        <v>13000</v>
      </c>
      <c r="BM50" s="415">
        <f t="shared" si="157"/>
        <v>13000</v>
      </c>
      <c r="BN50" s="415">
        <f t="shared" si="157"/>
        <v>13000</v>
      </c>
      <c r="BO50" s="415">
        <f t="shared" si="157"/>
        <v>13000</v>
      </c>
      <c r="BP50" s="415">
        <f t="shared" si="157"/>
        <v>13000</v>
      </c>
      <c r="BQ50" s="415">
        <f t="shared" si="157"/>
        <v>13000</v>
      </c>
      <c r="BR50" s="415">
        <f t="shared" si="157"/>
        <v>13000</v>
      </c>
      <c r="BS50" s="416">
        <f t="shared" si="158"/>
        <v>156000</v>
      </c>
      <c r="BT50" s="415">
        <f t="shared" si="159"/>
        <v>13520</v>
      </c>
      <c r="BU50" s="415">
        <f t="shared" si="160"/>
        <v>13520</v>
      </c>
      <c r="BV50" s="415">
        <f t="shared" si="160"/>
        <v>13520</v>
      </c>
      <c r="BW50" s="415">
        <f t="shared" si="160"/>
        <v>13520</v>
      </c>
      <c r="BX50" s="415">
        <f t="shared" si="160"/>
        <v>13520</v>
      </c>
      <c r="BY50" s="415">
        <f t="shared" si="160"/>
        <v>13520</v>
      </c>
      <c r="BZ50" s="415">
        <f t="shared" si="160"/>
        <v>13520</v>
      </c>
      <c r="CA50" s="415">
        <f t="shared" si="160"/>
        <v>13520</v>
      </c>
      <c r="CB50" s="415">
        <f t="shared" si="160"/>
        <v>13520</v>
      </c>
      <c r="CC50" s="415">
        <f t="shared" si="160"/>
        <v>13520</v>
      </c>
      <c r="CD50" s="415">
        <f t="shared" si="160"/>
        <v>13520</v>
      </c>
      <c r="CE50" s="415">
        <f t="shared" si="160"/>
        <v>13520</v>
      </c>
      <c r="CF50" s="416">
        <f t="shared" si="161"/>
        <v>162240</v>
      </c>
    </row>
    <row r="51" spans="1:84">
      <c r="A51" s="399"/>
      <c r="B51" s="412" t="s">
        <v>137</v>
      </c>
      <c r="C51" s="420" t="s">
        <v>617</v>
      </c>
      <c r="D51" s="423">
        <v>150000</v>
      </c>
      <c r="E51" s="413"/>
      <c r="F51" s="414" t="s">
        <v>319</v>
      </c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6"/>
      <c r="T51" s="415">
        <f t="shared" si="147"/>
        <v>0</v>
      </c>
      <c r="U51" s="415">
        <f t="shared" si="148"/>
        <v>0</v>
      </c>
      <c r="V51" s="415">
        <f t="shared" si="148"/>
        <v>0</v>
      </c>
      <c r="W51" s="415">
        <f t="shared" si="148"/>
        <v>0</v>
      </c>
      <c r="X51" s="415">
        <f t="shared" si="148"/>
        <v>0</v>
      </c>
      <c r="Y51" s="415">
        <f t="shared" si="148"/>
        <v>0</v>
      </c>
      <c r="Z51" s="415">
        <f t="shared" si="148"/>
        <v>0</v>
      </c>
      <c r="AA51" s="415">
        <f t="shared" si="148"/>
        <v>0</v>
      </c>
      <c r="AB51" s="415">
        <f t="shared" si="148"/>
        <v>0</v>
      </c>
      <c r="AC51" s="415">
        <f t="shared" si="148"/>
        <v>0</v>
      </c>
      <c r="AD51" s="415">
        <f t="shared" si="148"/>
        <v>0</v>
      </c>
      <c r="AE51" s="415">
        <f t="shared" si="148"/>
        <v>0</v>
      </c>
      <c r="AF51" s="416">
        <f t="shared" si="149"/>
        <v>0</v>
      </c>
      <c r="AG51" s="415">
        <f t="shared" si="150"/>
        <v>0</v>
      </c>
      <c r="AH51" s="415">
        <f t="shared" si="151"/>
        <v>0</v>
      </c>
      <c r="AI51" s="415">
        <f t="shared" si="151"/>
        <v>0</v>
      </c>
      <c r="AJ51" s="415">
        <f t="shared" si="151"/>
        <v>0</v>
      </c>
      <c r="AK51" s="415">
        <f t="shared" si="151"/>
        <v>0</v>
      </c>
      <c r="AL51" s="415">
        <f t="shared" si="151"/>
        <v>0</v>
      </c>
      <c r="AM51" s="415">
        <f t="shared" si="151"/>
        <v>0</v>
      </c>
      <c r="AN51" s="415">
        <f t="shared" si="151"/>
        <v>0</v>
      </c>
      <c r="AO51" s="415">
        <f t="shared" si="151"/>
        <v>0</v>
      </c>
      <c r="AP51" s="415">
        <f t="shared" si="151"/>
        <v>0</v>
      </c>
      <c r="AQ51" s="415">
        <f t="shared" si="151"/>
        <v>0</v>
      </c>
      <c r="AR51" s="415">
        <f t="shared" si="151"/>
        <v>0</v>
      </c>
      <c r="AS51" s="416">
        <f t="shared" si="152"/>
        <v>0</v>
      </c>
      <c r="AT51" s="415">
        <f t="shared" si="153"/>
        <v>12500</v>
      </c>
      <c r="AU51" s="415">
        <f t="shared" si="154"/>
        <v>12500</v>
      </c>
      <c r="AV51" s="415">
        <f t="shared" si="154"/>
        <v>12500</v>
      </c>
      <c r="AW51" s="415">
        <f t="shared" si="154"/>
        <v>12500</v>
      </c>
      <c r="AX51" s="415">
        <f t="shared" si="154"/>
        <v>12500</v>
      </c>
      <c r="AY51" s="415">
        <f t="shared" si="154"/>
        <v>12500</v>
      </c>
      <c r="AZ51" s="415">
        <f t="shared" si="154"/>
        <v>12500</v>
      </c>
      <c r="BA51" s="415">
        <f t="shared" si="154"/>
        <v>12500</v>
      </c>
      <c r="BB51" s="415">
        <f t="shared" si="154"/>
        <v>12500</v>
      </c>
      <c r="BC51" s="415">
        <f t="shared" si="154"/>
        <v>12500</v>
      </c>
      <c r="BD51" s="415">
        <f t="shared" si="154"/>
        <v>12500</v>
      </c>
      <c r="BE51" s="415">
        <f t="shared" si="154"/>
        <v>12500</v>
      </c>
      <c r="BF51" s="416">
        <f t="shared" si="155"/>
        <v>150000</v>
      </c>
      <c r="BG51" s="415">
        <f t="shared" si="156"/>
        <v>13000</v>
      </c>
      <c r="BH51" s="415">
        <f t="shared" si="157"/>
        <v>13000</v>
      </c>
      <c r="BI51" s="415">
        <f t="shared" si="157"/>
        <v>13000</v>
      </c>
      <c r="BJ51" s="415">
        <f t="shared" si="157"/>
        <v>13000</v>
      </c>
      <c r="BK51" s="415">
        <f t="shared" si="157"/>
        <v>13000</v>
      </c>
      <c r="BL51" s="415">
        <f t="shared" si="157"/>
        <v>13000</v>
      </c>
      <c r="BM51" s="415">
        <f t="shared" si="157"/>
        <v>13000</v>
      </c>
      <c r="BN51" s="415">
        <f t="shared" si="157"/>
        <v>13000</v>
      </c>
      <c r="BO51" s="415">
        <f t="shared" si="157"/>
        <v>13000</v>
      </c>
      <c r="BP51" s="415">
        <f t="shared" si="157"/>
        <v>13000</v>
      </c>
      <c r="BQ51" s="415">
        <f t="shared" si="157"/>
        <v>13000</v>
      </c>
      <c r="BR51" s="415">
        <f t="shared" si="157"/>
        <v>13000</v>
      </c>
      <c r="BS51" s="416">
        <f t="shared" si="158"/>
        <v>156000</v>
      </c>
      <c r="BT51" s="415">
        <f t="shared" si="159"/>
        <v>13520</v>
      </c>
      <c r="BU51" s="415">
        <f t="shared" si="160"/>
        <v>13520</v>
      </c>
      <c r="BV51" s="415">
        <f t="shared" si="160"/>
        <v>13520</v>
      </c>
      <c r="BW51" s="415">
        <f t="shared" si="160"/>
        <v>13520</v>
      </c>
      <c r="BX51" s="415">
        <f t="shared" si="160"/>
        <v>13520</v>
      </c>
      <c r="BY51" s="415">
        <f t="shared" si="160"/>
        <v>13520</v>
      </c>
      <c r="BZ51" s="415">
        <f t="shared" si="160"/>
        <v>13520</v>
      </c>
      <c r="CA51" s="415">
        <f t="shared" si="160"/>
        <v>13520</v>
      </c>
      <c r="CB51" s="415">
        <f t="shared" si="160"/>
        <v>13520</v>
      </c>
      <c r="CC51" s="415">
        <f t="shared" si="160"/>
        <v>13520</v>
      </c>
      <c r="CD51" s="415">
        <f t="shared" si="160"/>
        <v>13520</v>
      </c>
      <c r="CE51" s="415">
        <f t="shared" si="160"/>
        <v>13520</v>
      </c>
      <c r="CF51" s="416">
        <f t="shared" si="161"/>
        <v>162240</v>
      </c>
    </row>
    <row r="52" spans="1:84">
      <c r="A52" s="399"/>
      <c r="B52" s="412" t="s">
        <v>137</v>
      </c>
      <c r="C52" s="420" t="s">
        <v>618</v>
      </c>
      <c r="D52" s="423">
        <v>130000</v>
      </c>
      <c r="E52" s="413"/>
      <c r="F52" s="414" t="s">
        <v>319</v>
      </c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415"/>
      <c r="S52" s="416"/>
      <c r="T52" s="415">
        <f t="shared" si="147"/>
        <v>0</v>
      </c>
      <c r="U52" s="415">
        <f t="shared" si="148"/>
        <v>0</v>
      </c>
      <c r="V52" s="415">
        <f t="shared" si="148"/>
        <v>0</v>
      </c>
      <c r="W52" s="415">
        <f t="shared" si="148"/>
        <v>0</v>
      </c>
      <c r="X52" s="415">
        <f t="shared" si="148"/>
        <v>0</v>
      </c>
      <c r="Y52" s="415">
        <f t="shared" si="148"/>
        <v>0</v>
      </c>
      <c r="Z52" s="415">
        <f t="shared" si="148"/>
        <v>0</v>
      </c>
      <c r="AA52" s="415">
        <f t="shared" si="148"/>
        <v>0</v>
      </c>
      <c r="AB52" s="415">
        <f t="shared" si="148"/>
        <v>0</v>
      </c>
      <c r="AC52" s="415">
        <f t="shared" si="148"/>
        <v>0</v>
      </c>
      <c r="AD52" s="415">
        <f t="shared" si="148"/>
        <v>0</v>
      </c>
      <c r="AE52" s="415">
        <f t="shared" si="148"/>
        <v>0</v>
      </c>
      <c r="AF52" s="416">
        <f t="shared" si="149"/>
        <v>0</v>
      </c>
      <c r="AG52" s="415">
        <f t="shared" si="150"/>
        <v>0</v>
      </c>
      <c r="AH52" s="415">
        <f t="shared" si="151"/>
        <v>0</v>
      </c>
      <c r="AI52" s="415">
        <f t="shared" si="151"/>
        <v>0</v>
      </c>
      <c r="AJ52" s="415">
        <f t="shared" si="151"/>
        <v>0</v>
      </c>
      <c r="AK52" s="415">
        <f t="shared" si="151"/>
        <v>0</v>
      </c>
      <c r="AL52" s="415">
        <f t="shared" si="151"/>
        <v>0</v>
      </c>
      <c r="AM52" s="415">
        <f t="shared" si="151"/>
        <v>0</v>
      </c>
      <c r="AN52" s="415">
        <f t="shared" si="151"/>
        <v>0</v>
      </c>
      <c r="AO52" s="415">
        <f t="shared" si="151"/>
        <v>0</v>
      </c>
      <c r="AP52" s="415">
        <f t="shared" si="151"/>
        <v>0</v>
      </c>
      <c r="AQ52" s="415">
        <f t="shared" si="151"/>
        <v>0</v>
      </c>
      <c r="AR52" s="415">
        <f t="shared" si="151"/>
        <v>0</v>
      </c>
      <c r="AS52" s="416">
        <f t="shared" si="152"/>
        <v>0</v>
      </c>
      <c r="AT52" s="415">
        <f t="shared" si="153"/>
        <v>10833.333333333334</v>
      </c>
      <c r="AU52" s="415">
        <f t="shared" si="154"/>
        <v>10833.333333333334</v>
      </c>
      <c r="AV52" s="415">
        <f t="shared" si="154"/>
        <v>10833.333333333334</v>
      </c>
      <c r="AW52" s="415">
        <f t="shared" si="154"/>
        <v>10833.333333333334</v>
      </c>
      <c r="AX52" s="415">
        <f t="shared" si="154"/>
        <v>10833.333333333334</v>
      </c>
      <c r="AY52" s="415">
        <f t="shared" si="154"/>
        <v>10833.333333333334</v>
      </c>
      <c r="AZ52" s="415">
        <f t="shared" si="154"/>
        <v>10833.333333333334</v>
      </c>
      <c r="BA52" s="415">
        <f t="shared" si="154"/>
        <v>10833.333333333334</v>
      </c>
      <c r="BB52" s="415">
        <f t="shared" si="154"/>
        <v>10833.333333333334</v>
      </c>
      <c r="BC52" s="415">
        <f t="shared" si="154"/>
        <v>10833.333333333334</v>
      </c>
      <c r="BD52" s="415">
        <f t="shared" si="154"/>
        <v>10833.333333333334</v>
      </c>
      <c r="BE52" s="415">
        <f t="shared" si="154"/>
        <v>10833.333333333334</v>
      </c>
      <c r="BF52" s="416">
        <f t="shared" si="155"/>
        <v>129999.99999999999</v>
      </c>
      <c r="BG52" s="415">
        <f t="shared" si="156"/>
        <v>11266.666666666668</v>
      </c>
      <c r="BH52" s="415">
        <f t="shared" si="157"/>
        <v>11266.666666666668</v>
      </c>
      <c r="BI52" s="415">
        <f t="shared" si="157"/>
        <v>11266.666666666668</v>
      </c>
      <c r="BJ52" s="415">
        <f t="shared" si="157"/>
        <v>11266.666666666668</v>
      </c>
      <c r="BK52" s="415">
        <f t="shared" si="157"/>
        <v>11266.666666666668</v>
      </c>
      <c r="BL52" s="415">
        <f t="shared" si="157"/>
        <v>11266.666666666668</v>
      </c>
      <c r="BM52" s="415">
        <f t="shared" si="157"/>
        <v>11266.666666666668</v>
      </c>
      <c r="BN52" s="415">
        <f t="shared" si="157"/>
        <v>11266.666666666668</v>
      </c>
      <c r="BO52" s="415">
        <f t="shared" si="157"/>
        <v>11266.666666666668</v>
      </c>
      <c r="BP52" s="415">
        <f t="shared" si="157"/>
        <v>11266.666666666668</v>
      </c>
      <c r="BQ52" s="415">
        <f t="shared" si="157"/>
        <v>11266.666666666668</v>
      </c>
      <c r="BR52" s="415">
        <f t="shared" si="157"/>
        <v>11266.666666666668</v>
      </c>
      <c r="BS52" s="416">
        <f t="shared" si="158"/>
        <v>135200.00000000003</v>
      </c>
      <c r="BT52" s="415">
        <f t="shared" si="159"/>
        <v>11717.333333333336</v>
      </c>
      <c r="BU52" s="415">
        <f t="shared" si="160"/>
        <v>11717.333333333336</v>
      </c>
      <c r="BV52" s="415">
        <f t="shared" si="160"/>
        <v>11717.333333333336</v>
      </c>
      <c r="BW52" s="415">
        <f t="shared" si="160"/>
        <v>11717.333333333336</v>
      </c>
      <c r="BX52" s="415">
        <f t="shared" si="160"/>
        <v>11717.333333333336</v>
      </c>
      <c r="BY52" s="415">
        <f t="shared" si="160"/>
        <v>11717.333333333336</v>
      </c>
      <c r="BZ52" s="415">
        <f t="shared" si="160"/>
        <v>11717.333333333336</v>
      </c>
      <c r="CA52" s="415">
        <f t="shared" si="160"/>
        <v>11717.333333333336</v>
      </c>
      <c r="CB52" s="415">
        <f t="shared" si="160"/>
        <v>11717.333333333336</v>
      </c>
      <c r="CC52" s="415">
        <f t="shared" si="160"/>
        <v>11717.333333333336</v>
      </c>
      <c r="CD52" s="415">
        <f t="shared" si="160"/>
        <v>11717.333333333336</v>
      </c>
      <c r="CE52" s="415">
        <f t="shared" si="160"/>
        <v>11717.333333333336</v>
      </c>
      <c r="CF52" s="416">
        <f t="shared" si="161"/>
        <v>140608.00000000006</v>
      </c>
    </row>
    <row r="53" spans="1:84">
      <c r="A53" s="399"/>
      <c r="B53" s="479" t="s">
        <v>743</v>
      </c>
      <c r="C53" s="420" t="s">
        <v>619</v>
      </c>
      <c r="D53" s="423">
        <v>130000</v>
      </c>
      <c r="E53" s="413"/>
      <c r="F53" s="414" t="s">
        <v>49</v>
      </c>
      <c r="G53" s="415"/>
      <c r="H53" s="415"/>
      <c r="I53" s="415"/>
      <c r="J53" s="415"/>
      <c r="K53" s="415"/>
      <c r="L53" s="415"/>
      <c r="M53" s="415"/>
      <c r="N53" s="415"/>
      <c r="O53" s="415"/>
      <c r="P53" s="415"/>
      <c r="Q53" s="415"/>
      <c r="R53" s="415"/>
      <c r="S53" s="416"/>
      <c r="T53" s="533">
        <f>IF($F53=T$6,(($D53+$E53)*(1+$T$8))/12,R53*(1+T$8))/2</f>
        <v>5416.666666666667</v>
      </c>
      <c r="U53" s="533">
        <f>IF($F53=U$6,(($D53+$E53)/12),T53)*2</f>
        <v>10833.333333333334</v>
      </c>
      <c r="V53" s="415">
        <f t="shared" si="148"/>
        <v>10833.333333333334</v>
      </c>
      <c r="W53" s="415">
        <f t="shared" si="148"/>
        <v>10833.333333333334</v>
      </c>
      <c r="X53" s="415">
        <f t="shared" si="148"/>
        <v>10833.333333333334</v>
      </c>
      <c r="Y53" s="415">
        <f t="shared" si="148"/>
        <v>10833.333333333334</v>
      </c>
      <c r="Z53" s="415">
        <f t="shared" si="148"/>
        <v>10833.333333333334</v>
      </c>
      <c r="AA53" s="415">
        <f t="shared" si="148"/>
        <v>10833.333333333334</v>
      </c>
      <c r="AB53" s="415">
        <f t="shared" si="148"/>
        <v>10833.333333333334</v>
      </c>
      <c r="AC53" s="415">
        <f t="shared" si="148"/>
        <v>10833.333333333334</v>
      </c>
      <c r="AD53" s="415">
        <f t="shared" si="148"/>
        <v>10833.333333333334</v>
      </c>
      <c r="AE53" s="415">
        <f t="shared" si="148"/>
        <v>10833.333333333334</v>
      </c>
      <c r="AF53" s="416">
        <f t="shared" si="149"/>
        <v>124583.33333333331</v>
      </c>
      <c r="AG53" s="415">
        <f t="shared" si="150"/>
        <v>11266.666666666668</v>
      </c>
      <c r="AH53" s="415">
        <f t="shared" si="151"/>
        <v>11266.666666666668</v>
      </c>
      <c r="AI53" s="415">
        <f t="shared" si="151"/>
        <v>11266.666666666668</v>
      </c>
      <c r="AJ53" s="415">
        <f t="shared" si="151"/>
        <v>11266.666666666668</v>
      </c>
      <c r="AK53" s="415">
        <f t="shared" si="151"/>
        <v>11266.666666666668</v>
      </c>
      <c r="AL53" s="415">
        <f t="shared" si="151"/>
        <v>11266.666666666668</v>
      </c>
      <c r="AM53" s="415">
        <f t="shared" si="151"/>
        <v>11266.666666666668</v>
      </c>
      <c r="AN53" s="415">
        <f t="shared" si="151"/>
        <v>11266.666666666668</v>
      </c>
      <c r="AO53" s="415">
        <f t="shared" si="151"/>
        <v>11266.666666666668</v>
      </c>
      <c r="AP53" s="415">
        <f t="shared" si="151"/>
        <v>11266.666666666668</v>
      </c>
      <c r="AQ53" s="415">
        <f t="shared" si="151"/>
        <v>11266.666666666668</v>
      </c>
      <c r="AR53" s="415">
        <f t="shared" si="151"/>
        <v>11266.666666666668</v>
      </c>
      <c r="AS53" s="416">
        <f t="shared" si="152"/>
        <v>135200.00000000003</v>
      </c>
      <c r="AT53" s="415">
        <f t="shared" si="153"/>
        <v>11717.333333333336</v>
      </c>
      <c r="AU53" s="415">
        <f t="shared" si="154"/>
        <v>11717.333333333336</v>
      </c>
      <c r="AV53" s="415">
        <f t="shared" si="154"/>
        <v>11717.333333333336</v>
      </c>
      <c r="AW53" s="415">
        <f t="shared" si="154"/>
        <v>11717.333333333336</v>
      </c>
      <c r="AX53" s="415">
        <f t="shared" si="154"/>
        <v>11717.333333333336</v>
      </c>
      <c r="AY53" s="415">
        <f t="shared" si="154"/>
        <v>11717.333333333336</v>
      </c>
      <c r="AZ53" s="415">
        <f t="shared" si="154"/>
        <v>11717.333333333336</v>
      </c>
      <c r="BA53" s="415">
        <f t="shared" si="154"/>
        <v>11717.333333333336</v>
      </c>
      <c r="BB53" s="415">
        <f t="shared" si="154"/>
        <v>11717.333333333336</v>
      </c>
      <c r="BC53" s="415">
        <f t="shared" si="154"/>
        <v>11717.333333333336</v>
      </c>
      <c r="BD53" s="415">
        <f t="shared" si="154"/>
        <v>11717.333333333336</v>
      </c>
      <c r="BE53" s="415">
        <f t="shared" si="154"/>
        <v>11717.333333333336</v>
      </c>
      <c r="BF53" s="416">
        <f t="shared" si="155"/>
        <v>140608.00000000006</v>
      </c>
      <c r="BG53" s="415">
        <f t="shared" si="156"/>
        <v>12186.02666666667</v>
      </c>
      <c r="BH53" s="415">
        <f t="shared" si="157"/>
        <v>12186.02666666667</v>
      </c>
      <c r="BI53" s="415">
        <f t="shared" si="157"/>
        <v>12186.02666666667</v>
      </c>
      <c r="BJ53" s="415">
        <f t="shared" si="157"/>
        <v>12186.02666666667</v>
      </c>
      <c r="BK53" s="415">
        <f t="shared" si="157"/>
        <v>12186.02666666667</v>
      </c>
      <c r="BL53" s="415">
        <f t="shared" si="157"/>
        <v>12186.02666666667</v>
      </c>
      <c r="BM53" s="415">
        <f t="shared" si="157"/>
        <v>12186.02666666667</v>
      </c>
      <c r="BN53" s="415">
        <f t="shared" si="157"/>
        <v>12186.02666666667</v>
      </c>
      <c r="BO53" s="415">
        <f t="shared" si="157"/>
        <v>12186.02666666667</v>
      </c>
      <c r="BP53" s="415">
        <f t="shared" si="157"/>
        <v>12186.02666666667</v>
      </c>
      <c r="BQ53" s="415">
        <f t="shared" si="157"/>
        <v>12186.02666666667</v>
      </c>
      <c r="BR53" s="415">
        <f t="shared" si="157"/>
        <v>12186.02666666667</v>
      </c>
      <c r="BS53" s="416">
        <f t="shared" si="158"/>
        <v>146232.32000000004</v>
      </c>
      <c r="BT53" s="415">
        <f t="shared" si="159"/>
        <v>12673.467733333338</v>
      </c>
      <c r="BU53" s="415">
        <f t="shared" si="160"/>
        <v>12673.467733333338</v>
      </c>
      <c r="BV53" s="415">
        <f t="shared" si="160"/>
        <v>12673.467733333338</v>
      </c>
      <c r="BW53" s="415">
        <f t="shared" si="160"/>
        <v>12673.467733333338</v>
      </c>
      <c r="BX53" s="415">
        <f t="shared" si="160"/>
        <v>12673.467733333338</v>
      </c>
      <c r="BY53" s="415">
        <f t="shared" si="160"/>
        <v>12673.467733333338</v>
      </c>
      <c r="BZ53" s="415">
        <f t="shared" si="160"/>
        <v>12673.467733333338</v>
      </c>
      <c r="CA53" s="415">
        <f t="shared" si="160"/>
        <v>12673.467733333338</v>
      </c>
      <c r="CB53" s="415">
        <f t="shared" si="160"/>
        <v>12673.467733333338</v>
      </c>
      <c r="CC53" s="415">
        <f t="shared" si="160"/>
        <v>12673.467733333338</v>
      </c>
      <c r="CD53" s="415">
        <f t="shared" si="160"/>
        <v>12673.467733333338</v>
      </c>
      <c r="CE53" s="415">
        <f t="shared" si="160"/>
        <v>12673.467733333338</v>
      </c>
      <c r="CF53" s="416">
        <f t="shared" si="161"/>
        <v>152081.61280000006</v>
      </c>
    </row>
    <row r="54" spans="1:84">
      <c r="A54" s="399"/>
      <c r="B54" s="412" t="s">
        <v>137</v>
      </c>
      <c r="C54" s="420" t="s">
        <v>620</v>
      </c>
      <c r="D54" s="423">
        <v>85000</v>
      </c>
      <c r="E54" s="413"/>
      <c r="F54" s="414" t="s">
        <v>319</v>
      </c>
      <c r="G54" s="415"/>
      <c r="H54" s="415"/>
      <c r="I54" s="415"/>
      <c r="J54" s="415"/>
      <c r="K54" s="415"/>
      <c r="L54" s="415"/>
      <c r="M54" s="415"/>
      <c r="N54" s="415"/>
      <c r="O54" s="415"/>
      <c r="P54" s="415"/>
      <c r="Q54" s="415"/>
      <c r="R54" s="415"/>
      <c r="S54" s="416"/>
      <c r="T54" s="415">
        <f t="shared" si="147"/>
        <v>0</v>
      </c>
      <c r="U54" s="415">
        <f t="shared" si="148"/>
        <v>0</v>
      </c>
      <c r="V54" s="415">
        <f t="shared" si="148"/>
        <v>0</v>
      </c>
      <c r="W54" s="415">
        <f t="shared" si="148"/>
        <v>0</v>
      </c>
      <c r="X54" s="415">
        <f t="shared" si="148"/>
        <v>0</v>
      </c>
      <c r="Y54" s="415">
        <f t="shared" si="148"/>
        <v>0</v>
      </c>
      <c r="Z54" s="415">
        <f t="shared" si="148"/>
        <v>0</v>
      </c>
      <c r="AA54" s="415">
        <f t="shared" si="148"/>
        <v>0</v>
      </c>
      <c r="AB54" s="415">
        <f t="shared" si="148"/>
        <v>0</v>
      </c>
      <c r="AC54" s="415">
        <f t="shared" si="148"/>
        <v>0</v>
      </c>
      <c r="AD54" s="415">
        <f t="shared" si="148"/>
        <v>0</v>
      </c>
      <c r="AE54" s="415">
        <f t="shared" si="148"/>
        <v>0</v>
      </c>
      <c r="AF54" s="416">
        <f t="shared" si="149"/>
        <v>0</v>
      </c>
      <c r="AG54" s="415">
        <f t="shared" si="150"/>
        <v>0</v>
      </c>
      <c r="AH54" s="415">
        <f t="shared" si="151"/>
        <v>0</v>
      </c>
      <c r="AI54" s="415">
        <f t="shared" si="151"/>
        <v>0</v>
      </c>
      <c r="AJ54" s="415">
        <f t="shared" si="151"/>
        <v>0</v>
      </c>
      <c r="AK54" s="415">
        <f t="shared" si="151"/>
        <v>0</v>
      </c>
      <c r="AL54" s="415">
        <f t="shared" si="151"/>
        <v>0</v>
      </c>
      <c r="AM54" s="415">
        <f t="shared" si="151"/>
        <v>0</v>
      </c>
      <c r="AN54" s="415">
        <f t="shared" si="151"/>
        <v>0</v>
      </c>
      <c r="AO54" s="415">
        <f t="shared" si="151"/>
        <v>0</v>
      </c>
      <c r="AP54" s="415">
        <f t="shared" si="151"/>
        <v>0</v>
      </c>
      <c r="AQ54" s="415">
        <f t="shared" si="151"/>
        <v>0</v>
      </c>
      <c r="AR54" s="415">
        <f t="shared" si="151"/>
        <v>0</v>
      </c>
      <c r="AS54" s="416">
        <f t="shared" si="152"/>
        <v>0</v>
      </c>
      <c r="AT54" s="415">
        <f t="shared" si="153"/>
        <v>7083.333333333333</v>
      </c>
      <c r="AU54" s="415">
        <f t="shared" si="154"/>
        <v>7083.333333333333</v>
      </c>
      <c r="AV54" s="415">
        <f t="shared" si="154"/>
        <v>7083.333333333333</v>
      </c>
      <c r="AW54" s="415">
        <f t="shared" si="154"/>
        <v>7083.333333333333</v>
      </c>
      <c r="AX54" s="415">
        <f t="shared" si="154"/>
        <v>7083.333333333333</v>
      </c>
      <c r="AY54" s="415">
        <f t="shared" si="154"/>
        <v>7083.333333333333</v>
      </c>
      <c r="AZ54" s="415">
        <f t="shared" si="154"/>
        <v>7083.333333333333</v>
      </c>
      <c r="BA54" s="415">
        <f t="shared" si="154"/>
        <v>7083.333333333333</v>
      </c>
      <c r="BB54" s="415">
        <f t="shared" si="154"/>
        <v>7083.333333333333</v>
      </c>
      <c r="BC54" s="415">
        <f t="shared" si="154"/>
        <v>7083.333333333333</v>
      </c>
      <c r="BD54" s="415">
        <f t="shared" si="154"/>
        <v>7083.333333333333</v>
      </c>
      <c r="BE54" s="415">
        <f t="shared" si="154"/>
        <v>7083.333333333333</v>
      </c>
      <c r="BF54" s="416">
        <f t="shared" si="155"/>
        <v>85000</v>
      </c>
      <c r="BG54" s="415">
        <f t="shared" si="156"/>
        <v>7366.666666666667</v>
      </c>
      <c r="BH54" s="415">
        <f t="shared" si="157"/>
        <v>7366.666666666667</v>
      </c>
      <c r="BI54" s="415">
        <f t="shared" si="157"/>
        <v>7366.666666666667</v>
      </c>
      <c r="BJ54" s="415">
        <f t="shared" si="157"/>
        <v>7366.666666666667</v>
      </c>
      <c r="BK54" s="415">
        <f t="shared" si="157"/>
        <v>7366.666666666667</v>
      </c>
      <c r="BL54" s="415">
        <f t="shared" si="157"/>
        <v>7366.666666666667</v>
      </c>
      <c r="BM54" s="415">
        <f t="shared" si="157"/>
        <v>7366.666666666667</v>
      </c>
      <c r="BN54" s="415">
        <f t="shared" si="157"/>
        <v>7366.666666666667</v>
      </c>
      <c r="BO54" s="415">
        <f t="shared" si="157"/>
        <v>7366.666666666667</v>
      </c>
      <c r="BP54" s="415">
        <f t="shared" si="157"/>
        <v>7366.666666666667</v>
      </c>
      <c r="BQ54" s="415">
        <f t="shared" si="157"/>
        <v>7366.666666666667</v>
      </c>
      <c r="BR54" s="415">
        <f t="shared" si="157"/>
        <v>7366.666666666667</v>
      </c>
      <c r="BS54" s="416">
        <f t="shared" si="158"/>
        <v>88400.000000000015</v>
      </c>
      <c r="BT54" s="415">
        <f t="shared" si="159"/>
        <v>7661.3333333333339</v>
      </c>
      <c r="BU54" s="415">
        <f t="shared" si="160"/>
        <v>7661.3333333333339</v>
      </c>
      <c r="BV54" s="415">
        <f t="shared" si="160"/>
        <v>7661.3333333333339</v>
      </c>
      <c r="BW54" s="415">
        <f t="shared" si="160"/>
        <v>7661.3333333333339</v>
      </c>
      <c r="BX54" s="415">
        <f t="shared" si="160"/>
        <v>7661.3333333333339</v>
      </c>
      <c r="BY54" s="415">
        <f t="shared" si="160"/>
        <v>7661.3333333333339</v>
      </c>
      <c r="BZ54" s="415">
        <f t="shared" si="160"/>
        <v>7661.3333333333339</v>
      </c>
      <c r="CA54" s="415">
        <f t="shared" si="160"/>
        <v>7661.3333333333339</v>
      </c>
      <c r="CB54" s="415">
        <f t="shared" si="160"/>
        <v>7661.3333333333339</v>
      </c>
      <c r="CC54" s="415">
        <f t="shared" si="160"/>
        <v>7661.3333333333339</v>
      </c>
      <c r="CD54" s="415">
        <f t="shared" si="160"/>
        <v>7661.3333333333339</v>
      </c>
      <c r="CE54" s="415">
        <f t="shared" si="160"/>
        <v>7661.3333333333339</v>
      </c>
      <c r="CF54" s="416">
        <f t="shared" si="161"/>
        <v>91936</v>
      </c>
    </row>
    <row r="55" spans="1:84">
      <c r="A55" s="399"/>
      <c r="B55" s="412" t="s">
        <v>137</v>
      </c>
      <c r="C55" s="420" t="s">
        <v>621</v>
      </c>
      <c r="D55" s="423">
        <v>70000</v>
      </c>
      <c r="E55" s="413"/>
      <c r="F55" s="414" t="s">
        <v>319</v>
      </c>
      <c r="G55" s="415"/>
      <c r="H55" s="415"/>
      <c r="I55" s="415"/>
      <c r="J55" s="415"/>
      <c r="K55" s="415"/>
      <c r="L55" s="415"/>
      <c r="M55" s="415"/>
      <c r="N55" s="415"/>
      <c r="O55" s="415"/>
      <c r="P55" s="415"/>
      <c r="Q55" s="415"/>
      <c r="R55" s="415"/>
      <c r="S55" s="416"/>
      <c r="T55" s="415">
        <f t="shared" si="147"/>
        <v>0</v>
      </c>
      <c r="U55" s="415">
        <f t="shared" si="148"/>
        <v>0</v>
      </c>
      <c r="V55" s="415">
        <f t="shared" si="148"/>
        <v>0</v>
      </c>
      <c r="W55" s="415">
        <f t="shared" si="148"/>
        <v>0</v>
      </c>
      <c r="X55" s="415">
        <f t="shared" si="148"/>
        <v>0</v>
      </c>
      <c r="Y55" s="415">
        <f t="shared" si="148"/>
        <v>0</v>
      </c>
      <c r="Z55" s="415">
        <f t="shared" si="148"/>
        <v>0</v>
      </c>
      <c r="AA55" s="415">
        <f t="shared" si="148"/>
        <v>0</v>
      </c>
      <c r="AB55" s="415">
        <f t="shared" si="148"/>
        <v>0</v>
      </c>
      <c r="AC55" s="415">
        <f t="shared" si="148"/>
        <v>0</v>
      </c>
      <c r="AD55" s="415">
        <f t="shared" si="148"/>
        <v>0</v>
      </c>
      <c r="AE55" s="415">
        <f t="shared" si="148"/>
        <v>0</v>
      </c>
      <c r="AF55" s="416">
        <f t="shared" si="149"/>
        <v>0</v>
      </c>
      <c r="AG55" s="415">
        <f t="shared" si="150"/>
        <v>0</v>
      </c>
      <c r="AH55" s="415">
        <f t="shared" si="151"/>
        <v>0</v>
      </c>
      <c r="AI55" s="415">
        <f t="shared" si="151"/>
        <v>0</v>
      </c>
      <c r="AJ55" s="415">
        <f t="shared" si="151"/>
        <v>0</v>
      </c>
      <c r="AK55" s="415">
        <f t="shared" si="151"/>
        <v>0</v>
      </c>
      <c r="AL55" s="415">
        <f t="shared" si="151"/>
        <v>0</v>
      </c>
      <c r="AM55" s="415">
        <f t="shared" si="151"/>
        <v>0</v>
      </c>
      <c r="AN55" s="415">
        <f t="shared" si="151"/>
        <v>0</v>
      </c>
      <c r="AO55" s="415">
        <f t="shared" si="151"/>
        <v>0</v>
      </c>
      <c r="AP55" s="415">
        <f t="shared" si="151"/>
        <v>0</v>
      </c>
      <c r="AQ55" s="415">
        <f t="shared" si="151"/>
        <v>0</v>
      </c>
      <c r="AR55" s="415">
        <f t="shared" si="151"/>
        <v>0</v>
      </c>
      <c r="AS55" s="416">
        <f t="shared" si="152"/>
        <v>0</v>
      </c>
      <c r="AT55" s="415">
        <f t="shared" si="153"/>
        <v>5833.333333333333</v>
      </c>
      <c r="AU55" s="415">
        <f t="shared" si="154"/>
        <v>5833.333333333333</v>
      </c>
      <c r="AV55" s="415">
        <f t="shared" si="154"/>
        <v>5833.333333333333</v>
      </c>
      <c r="AW55" s="415">
        <f t="shared" si="154"/>
        <v>5833.333333333333</v>
      </c>
      <c r="AX55" s="415">
        <f t="shared" si="154"/>
        <v>5833.333333333333</v>
      </c>
      <c r="AY55" s="415">
        <f t="shared" si="154"/>
        <v>5833.333333333333</v>
      </c>
      <c r="AZ55" s="415">
        <f t="shared" si="154"/>
        <v>5833.333333333333</v>
      </c>
      <c r="BA55" s="415">
        <f t="shared" si="154"/>
        <v>5833.333333333333</v>
      </c>
      <c r="BB55" s="415">
        <f t="shared" si="154"/>
        <v>5833.333333333333</v>
      </c>
      <c r="BC55" s="415">
        <f t="shared" si="154"/>
        <v>5833.333333333333</v>
      </c>
      <c r="BD55" s="415">
        <f t="shared" si="154"/>
        <v>5833.333333333333</v>
      </c>
      <c r="BE55" s="415">
        <f t="shared" si="154"/>
        <v>5833.333333333333</v>
      </c>
      <c r="BF55" s="416">
        <f t="shared" si="155"/>
        <v>70000.000000000015</v>
      </c>
      <c r="BG55" s="415">
        <f t="shared" si="156"/>
        <v>6066.666666666667</v>
      </c>
      <c r="BH55" s="415">
        <f t="shared" si="157"/>
        <v>6066.666666666667</v>
      </c>
      <c r="BI55" s="415">
        <f t="shared" si="157"/>
        <v>6066.666666666667</v>
      </c>
      <c r="BJ55" s="415">
        <f t="shared" si="157"/>
        <v>6066.666666666667</v>
      </c>
      <c r="BK55" s="415">
        <f t="shared" si="157"/>
        <v>6066.666666666667</v>
      </c>
      <c r="BL55" s="415">
        <f t="shared" si="157"/>
        <v>6066.666666666667</v>
      </c>
      <c r="BM55" s="415">
        <f t="shared" si="157"/>
        <v>6066.666666666667</v>
      </c>
      <c r="BN55" s="415">
        <f t="shared" si="157"/>
        <v>6066.666666666667</v>
      </c>
      <c r="BO55" s="415">
        <f t="shared" si="157"/>
        <v>6066.666666666667</v>
      </c>
      <c r="BP55" s="415">
        <f t="shared" si="157"/>
        <v>6066.666666666667</v>
      </c>
      <c r="BQ55" s="415">
        <f t="shared" si="157"/>
        <v>6066.666666666667</v>
      </c>
      <c r="BR55" s="415">
        <f t="shared" si="157"/>
        <v>6066.666666666667</v>
      </c>
      <c r="BS55" s="416">
        <f t="shared" si="158"/>
        <v>72800</v>
      </c>
      <c r="BT55" s="415">
        <f t="shared" si="159"/>
        <v>6309.3333333333339</v>
      </c>
      <c r="BU55" s="415">
        <f t="shared" si="160"/>
        <v>6309.3333333333339</v>
      </c>
      <c r="BV55" s="415">
        <f t="shared" si="160"/>
        <v>6309.3333333333339</v>
      </c>
      <c r="BW55" s="415">
        <f t="shared" si="160"/>
        <v>6309.3333333333339</v>
      </c>
      <c r="BX55" s="415">
        <f t="shared" si="160"/>
        <v>6309.3333333333339</v>
      </c>
      <c r="BY55" s="415">
        <f t="shared" si="160"/>
        <v>6309.3333333333339</v>
      </c>
      <c r="BZ55" s="415">
        <f t="shared" si="160"/>
        <v>6309.3333333333339</v>
      </c>
      <c r="CA55" s="415">
        <f t="shared" si="160"/>
        <v>6309.3333333333339</v>
      </c>
      <c r="CB55" s="415">
        <f t="shared" si="160"/>
        <v>6309.3333333333339</v>
      </c>
      <c r="CC55" s="415">
        <f t="shared" si="160"/>
        <v>6309.3333333333339</v>
      </c>
      <c r="CD55" s="415">
        <f t="shared" si="160"/>
        <v>6309.3333333333339</v>
      </c>
      <c r="CE55" s="415">
        <f t="shared" si="160"/>
        <v>6309.3333333333339</v>
      </c>
      <c r="CF55" s="416">
        <f t="shared" si="161"/>
        <v>75712.000000000015</v>
      </c>
    </row>
    <row r="56" spans="1:84">
      <c r="A56" s="399"/>
      <c r="B56" s="412" t="s">
        <v>137</v>
      </c>
      <c r="C56" s="420" t="s">
        <v>622</v>
      </c>
      <c r="D56" s="423">
        <v>80000</v>
      </c>
      <c r="E56" s="413"/>
      <c r="F56" s="414" t="s">
        <v>319</v>
      </c>
      <c r="G56" s="415"/>
      <c r="H56" s="415"/>
      <c r="I56" s="415"/>
      <c r="J56" s="415"/>
      <c r="K56" s="415"/>
      <c r="L56" s="415"/>
      <c r="M56" s="415"/>
      <c r="N56" s="415"/>
      <c r="O56" s="415"/>
      <c r="P56" s="415"/>
      <c r="Q56" s="415"/>
      <c r="R56" s="415"/>
      <c r="S56" s="416"/>
      <c r="T56" s="415">
        <f t="shared" si="147"/>
        <v>0</v>
      </c>
      <c r="U56" s="415">
        <f t="shared" si="148"/>
        <v>0</v>
      </c>
      <c r="V56" s="415">
        <f t="shared" si="148"/>
        <v>0</v>
      </c>
      <c r="W56" s="415">
        <f t="shared" si="148"/>
        <v>0</v>
      </c>
      <c r="X56" s="415">
        <f t="shared" si="148"/>
        <v>0</v>
      </c>
      <c r="Y56" s="415">
        <f t="shared" si="148"/>
        <v>0</v>
      </c>
      <c r="Z56" s="415">
        <f t="shared" si="148"/>
        <v>0</v>
      </c>
      <c r="AA56" s="415">
        <f t="shared" si="148"/>
        <v>0</v>
      </c>
      <c r="AB56" s="415">
        <f t="shared" si="148"/>
        <v>0</v>
      </c>
      <c r="AC56" s="415">
        <f t="shared" si="148"/>
        <v>0</v>
      </c>
      <c r="AD56" s="415">
        <f t="shared" si="148"/>
        <v>0</v>
      </c>
      <c r="AE56" s="415">
        <f t="shared" si="148"/>
        <v>0</v>
      </c>
      <c r="AF56" s="416">
        <f t="shared" si="149"/>
        <v>0</v>
      </c>
      <c r="AG56" s="415">
        <f t="shared" si="150"/>
        <v>0</v>
      </c>
      <c r="AH56" s="415">
        <f t="shared" si="151"/>
        <v>0</v>
      </c>
      <c r="AI56" s="415">
        <f t="shared" si="151"/>
        <v>0</v>
      </c>
      <c r="AJ56" s="415">
        <f t="shared" si="151"/>
        <v>0</v>
      </c>
      <c r="AK56" s="415">
        <f t="shared" si="151"/>
        <v>0</v>
      </c>
      <c r="AL56" s="415">
        <f t="shared" si="151"/>
        <v>0</v>
      </c>
      <c r="AM56" s="415">
        <f t="shared" si="151"/>
        <v>0</v>
      </c>
      <c r="AN56" s="415">
        <f t="shared" si="151"/>
        <v>0</v>
      </c>
      <c r="AO56" s="415">
        <f t="shared" si="151"/>
        <v>0</v>
      </c>
      <c r="AP56" s="415">
        <f t="shared" si="151"/>
        <v>0</v>
      </c>
      <c r="AQ56" s="415">
        <f t="shared" si="151"/>
        <v>0</v>
      </c>
      <c r="AR56" s="415">
        <f t="shared" si="151"/>
        <v>0</v>
      </c>
      <c r="AS56" s="416">
        <f t="shared" si="152"/>
        <v>0</v>
      </c>
      <c r="AT56" s="415">
        <f t="shared" si="153"/>
        <v>6666.666666666667</v>
      </c>
      <c r="AU56" s="415">
        <f t="shared" si="154"/>
        <v>6666.666666666667</v>
      </c>
      <c r="AV56" s="415">
        <f t="shared" si="154"/>
        <v>6666.666666666667</v>
      </c>
      <c r="AW56" s="415">
        <f t="shared" si="154"/>
        <v>6666.666666666667</v>
      </c>
      <c r="AX56" s="415">
        <f t="shared" si="154"/>
        <v>6666.666666666667</v>
      </c>
      <c r="AY56" s="415">
        <f t="shared" si="154"/>
        <v>6666.666666666667</v>
      </c>
      <c r="AZ56" s="415">
        <f t="shared" si="154"/>
        <v>6666.666666666667</v>
      </c>
      <c r="BA56" s="415">
        <f t="shared" si="154"/>
        <v>6666.666666666667</v>
      </c>
      <c r="BB56" s="415">
        <f t="shared" si="154"/>
        <v>6666.666666666667</v>
      </c>
      <c r="BC56" s="415">
        <f t="shared" si="154"/>
        <v>6666.666666666667</v>
      </c>
      <c r="BD56" s="415">
        <f t="shared" si="154"/>
        <v>6666.666666666667</v>
      </c>
      <c r="BE56" s="415">
        <f t="shared" si="154"/>
        <v>6666.666666666667</v>
      </c>
      <c r="BF56" s="416">
        <f t="shared" si="155"/>
        <v>80000</v>
      </c>
      <c r="BG56" s="415">
        <f t="shared" si="156"/>
        <v>6933.3333333333339</v>
      </c>
      <c r="BH56" s="415">
        <f t="shared" si="157"/>
        <v>6933.3333333333339</v>
      </c>
      <c r="BI56" s="415">
        <f t="shared" si="157"/>
        <v>6933.3333333333339</v>
      </c>
      <c r="BJ56" s="415">
        <f t="shared" si="157"/>
        <v>6933.3333333333339</v>
      </c>
      <c r="BK56" s="415">
        <f t="shared" si="157"/>
        <v>6933.3333333333339</v>
      </c>
      <c r="BL56" s="415">
        <f t="shared" si="157"/>
        <v>6933.3333333333339</v>
      </c>
      <c r="BM56" s="415">
        <f t="shared" si="157"/>
        <v>6933.3333333333339</v>
      </c>
      <c r="BN56" s="415">
        <f t="shared" si="157"/>
        <v>6933.3333333333339</v>
      </c>
      <c r="BO56" s="415">
        <f t="shared" si="157"/>
        <v>6933.3333333333339</v>
      </c>
      <c r="BP56" s="415">
        <f t="shared" si="157"/>
        <v>6933.3333333333339</v>
      </c>
      <c r="BQ56" s="415">
        <f t="shared" si="157"/>
        <v>6933.3333333333339</v>
      </c>
      <c r="BR56" s="415">
        <f t="shared" si="157"/>
        <v>6933.3333333333339</v>
      </c>
      <c r="BS56" s="416">
        <f t="shared" si="158"/>
        <v>83200</v>
      </c>
      <c r="BT56" s="415">
        <f t="shared" si="159"/>
        <v>7210.6666666666679</v>
      </c>
      <c r="BU56" s="415">
        <f t="shared" si="160"/>
        <v>7210.6666666666679</v>
      </c>
      <c r="BV56" s="415">
        <f t="shared" si="160"/>
        <v>7210.6666666666679</v>
      </c>
      <c r="BW56" s="415">
        <f t="shared" si="160"/>
        <v>7210.6666666666679</v>
      </c>
      <c r="BX56" s="415">
        <f t="shared" si="160"/>
        <v>7210.6666666666679</v>
      </c>
      <c r="BY56" s="415">
        <f t="shared" si="160"/>
        <v>7210.6666666666679</v>
      </c>
      <c r="BZ56" s="415">
        <f t="shared" si="160"/>
        <v>7210.6666666666679</v>
      </c>
      <c r="CA56" s="415">
        <f t="shared" si="160"/>
        <v>7210.6666666666679</v>
      </c>
      <c r="CB56" s="415">
        <f t="shared" si="160"/>
        <v>7210.6666666666679</v>
      </c>
      <c r="CC56" s="415">
        <f t="shared" si="160"/>
        <v>7210.6666666666679</v>
      </c>
      <c r="CD56" s="415">
        <f t="shared" si="160"/>
        <v>7210.6666666666679</v>
      </c>
      <c r="CE56" s="415">
        <f t="shared" si="160"/>
        <v>7210.6666666666679</v>
      </c>
      <c r="CF56" s="416">
        <f t="shared" si="161"/>
        <v>86528.000000000044</v>
      </c>
    </row>
    <row r="57" spans="1:84">
      <c r="A57" s="399"/>
      <c r="B57" s="412" t="s">
        <v>137</v>
      </c>
      <c r="C57" s="420" t="s">
        <v>623</v>
      </c>
      <c r="D57" s="423">
        <v>80000</v>
      </c>
      <c r="E57" s="413"/>
      <c r="F57" s="414" t="s">
        <v>319</v>
      </c>
      <c r="G57" s="415"/>
      <c r="H57" s="415"/>
      <c r="I57" s="415"/>
      <c r="J57" s="415"/>
      <c r="K57" s="415"/>
      <c r="L57" s="415"/>
      <c r="M57" s="415"/>
      <c r="N57" s="415"/>
      <c r="O57" s="415"/>
      <c r="P57" s="415"/>
      <c r="Q57" s="415"/>
      <c r="R57" s="415"/>
      <c r="S57" s="416"/>
      <c r="T57" s="415">
        <f t="shared" si="147"/>
        <v>0</v>
      </c>
      <c r="U57" s="415">
        <f t="shared" si="148"/>
        <v>0</v>
      </c>
      <c r="V57" s="415">
        <f t="shared" si="148"/>
        <v>0</v>
      </c>
      <c r="W57" s="415">
        <f t="shared" si="148"/>
        <v>0</v>
      </c>
      <c r="X57" s="415">
        <f t="shared" si="148"/>
        <v>0</v>
      </c>
      <c r="Y57" s="415">
        <f t="shared" si="148"/>
        <v>0</v>
      </c>
      <c r="Z57" s="415">
        <f t="shared" si="148"/>
        <v>0</v>
      </c>
      <c r="AA57" s="415">
        <f t="shared" si="148"/>
        <v>0</v>
      </c>
      <c r="AB57" s="415">
        <f t="shared" si="148"/>
        <v>0</v>
      </c>
      <c r="AC57" s="415">
        <f t="shared" si="148"/>
        <v>0</v>
      </c>
      <c r="AD57" s="415">
        <f t="shared" si="148"/>
        <v>0</v>
      </c>
      <c r="AE57" s="415">
        <f t="shared" si="148"/>
        <v>0</v>
      </c>
      <c r="AF57" s="416">
        <f t="shared" si="149"/>
        <v>0</v>
      </c>
      <c r="AG57" s="415">
        <f t="shared" si="150"/>
        <v>0</v>
      </c>
      <c r="AH57" s="415">
        <f t="shared" si="151"/>
        <v>0</v>
      </c>
      <c r="AI57" s="415">
        <f t="shared" si="151"/>
        <v>0</v>
      </c>
      <c r="AJ57" s="415">
        <f t="shared" si="151"/>
        <v>0</v>
      </c>
      <c r="AK57" s="415">
        <f t="shared" si="151"/>
        <v>0</v>
      </c>
      <c r="AL57" s="415">
        <f t="shared" si="151"/>
        <v>0</v>
      </c>
      <c r="AM57" s="415">
        <f t="shared" si="151"/>
        <v>0</v>
      </c>
      <c r="AN57" s="415">
        <f t="shared" si="151"/>
        <v>0</v>
      </c>
      <c r="AO57" s="415">
        <f t="shared" si="151"/>
        <v>0</v>
      </c>
      <c r="AP57" s="415">
        <f t="shared" si="151"/>
        <v>0</v>
      </c>
      <c r="AQ57" s="415">
        <f t="shared" si="151"/>
        <v>0</v>
      </c>
      <c r="AR57" s="415">
        <f t="shared" si="151"/>
        <v>0</v>
      </c>
      <c r="AS57" s="416">
        <f t="shared" si="152"/>
        <v>0</v>
      </c>
      <c r="AT57" s="415">
        <f t="shared" si="153"/>
        <v>6666.666666666667</v>
      </c>
      <c r="AU57" s="415">
        <f t="shared" si="154"/>
        <v>6666.666666666667</v>
      </c>
      <c r="AV57" s="415">
        <f t="shared" si="154"/>
        <v>6666.666666666667</v>
      </c>
      <c r="AW57" s="415">
        <f t="shared" si="154"/>
        <v>6666.666666666667</v>
      </c>
      <c r="AX57" s="415">
        <f t="shared" si="154"/>
        <v>6666.666666666667</v>
      </c>
      <c r="AY57" s="415">
        <f t="shared" si="154"/>
        <v>6666.666666666667</v>
      </c>
      <c r="AZ57" s="415">
        <f t="shared" si="154"/>
        <v>6666.666666666667</v>
      </c>
      <c r="BA57" s="415">
        <f t="shared" si="154"/>
        <v>6666.666666666667</v>
      </c>
      <c r="BB57" s="415">
        <f t="shared" si="154"/>
        <v>6666.666666666667</v>
      </c>
      <c r="BC57" s="415">
        <f t="shared" si="154"/>
        <v>6666.666666666667</v>
      </c>
      <c r="BD57" s="415">
        <f t="shared" si="154"/>
        <v>6666.666666666667</v>
      </c>
      <c r="BE57" s="415">
        <f t="shared" si="154"/>
        <v>6666.666666666667</v>
      </c>
      <c r="BF57" s="416">
        <f t="shared" si="155"/>
        <v>80000</v>
      </c>
      <c r="BG57" s="415">
        <f t="shared" si="156"/>
        <v>6933.3333333333339</v>
      </c>
      <c r="BH57" s="415">
        <f t="shared" si="157"/>
        <v>6933.3333333333339</v>
      </c>
      <c r="BI57" s="415">
        <f t="shared" si="157"/>
        <v>6933.3333333333339</v>
      </c>
      <c r="BJ57" s="415">
        <f t="shared" si="157"/>
        <v>6933.3333333333339</v>
      </c>
      <c r="BK57" s="415">
        <f t="shared" si="157"/>
        <v>6933.3333333333339</v>
      </c>
      <c r="BL57" s="415">
        <f t="shared" si="157"/>
        <v>6933.3333333333339</v>
      </c>
      <c r="BM57" s="415">
        <f t="shared" si="157"/>
        <v>6933.3333333333339</v>
      </c>
      <c r="BN57" s="415">
        <f t="shared" si="157"/>
        <v>6933.3333333333339</v>
      </c>
      <c r="BO57" s="415">
        <f t="shared" si="157"/>
        <v>6933.3333333333339</v>
      </c>
      <c r="BP57" s="415">
        <f t="shared" si="157"/>
        <v>6933.3333333333339</v>
      </c>
      <c r="BQ57" s="415">
        <f t="shared" si="157"/>
        <v>6933.3333333333339</v>
      </c>
      <c r="BR57" s="415">
        <f t="shared" si="157"/>
        <v>6933.3333333333339</v>
      </c>
      <c r="BS57" s="416">
        <f t="shared" si="158"/>
        <v>83200</v>
      </c>
      <c r="BT57" s="415">
        <f t="shared" si="159"/>
        <v>7210.6666666666679</v>
      </c>
      <c r="BU57" s="415">
        <f t="shared" si="160"/>
        <v>7210.6666666666679</v>
      </c>
      <c r="BV57" s="415">
        <f t="shared" si="160"/>
        <v>7210.6666666666679</v>
      </c>
      <c r="BW57" s="415">
        <f t="shared" si="160"/>
        <v>7210.6666666666679</v>
      </c>
      <c r="BX57" s="415">
        <f t="shared" si="160"/>
        <v>7210.6666666666679</v>
      </c>
      <c r="BY57" s="415">
        <f t="shared" si="160"/>
        <v>7210.6666666666679</v>
      </c>
      <c r="BZ57" s="415">
        <f t="shared" si="160"/>
        <v>7210.6666666666679</v>
      </c>
      <c r="CA57" s="415">
        <f t="shared" si="160"/>
        <v>7210.6666666666679</v>
      </c>
      <c r="CB57" s="415">
        <f t="shared" si="160"/>
        <v>7210.6666666666679</v>
      </c>
      <c r="CC57" s="415">
        <f t="shared" si="160"/>
        <v>7210.6666666666679</v>
      </c>
      <c r="CD57" s="415">
        <f t="shared" si="160"/>
        <v>7210.6666666666679</v>
      </c>
      <c r="CE57" s="415">
        <f t="shared" si="160"/>
        <v>7210.6666666666679</v>
      </c>
      <c r="CF57" s="416">
        <f t="shared" si="161"/>
        <v>86528.000000000044</v>
      </c>
    </row>
    <row r="58" spans="1:84">
      <c r="A58" s="399"/>
      <c r="B58" s="412" t="s">
        <v>137</v>
      </c>
      <c r="C58" s="420" t="s">
        <v>624</v>
      </c>
      <c r="D58" s="423">
        <v>95000</v>
      </c>
      <c r="E58" s="413"/>
      <c r="F58" s="414" t="s">
        <v>319</v>
      </c>
      <c r="G58" s="415"/>
      <c r="H58" s="415"/>
      <c r="I58" s="415"/>
      <c r="J58" s="415"/>
      <c r="K58" s="415"/>
      <c r="L58" s="415"/>
      <c r="M58" s="415"/>
      <c r="N58" s="415"/>
      <c r="O58" s="415"/>
      <c r="P58" s="415"/>
      <c r="Q58" s="415"/>
      <c r="R58" s="415"/>
      <c r="S58" s="416"/>
      <c r="T58" s="415">
        <f t="shared" si="147"/>
        <v>0</v>
      </c>
      <c r="U58" s="415">
        <f t="shared" si="148"/>
        <v>0</v>
      </c>
      <c r="V58" s="415">
        <f t="shared" si="148"/>
        <v>0</v>
      </c>
      <c r="W58" s="415">
        <f t="shared" si="148"/>
        <v>0</v>
      </c>
      <c r="X58" s="415">
        <f t="shared" si="148"/>
        <v>0</v>
      </c>
      <c r="Y58" s="415">
        <f t="shared" si="148"/>
        <v>0</v>
      </c>
      <c r="Z58" s="415">
        <f t="shared" si="148"/>
        <v>0</v>
      </c>
      <c r="AA58" s="415">
        <f t="shared" si="148"/>
        <v>0</v>
      </c>
      <c r="AB58" s="415">
        <f t="shared" si="148"/>
        <v>0</v>
      </c>
      <c r="AC58" s="415">
        <f t="shared" si="148"/>
        <v>0</v>
      </c>
      <c r="AD58" s="415">
        <f t="shared" si="148"/>
        <v>0</v>
      </c>
      <c r="AE58" s="415">
        <f t="shared" si="148"/>
        <v>0</v>
      </c>
      <c r="AF58" s="416">
        <f t="shared" si="149"/>
        <v>0</v>
      </c>
      <c r="AG58" s="415">
        <f t="shared" si="150"/>
        <v>0</v>
      </c>
      <c r="AH58" s="415">
        <f t="shared" si="151"/>
        <v>0</v>
      </c>
      <c r="AI58" s="415">
        <f t="shared" si="151"/>
        <v>0</v>
      </c>
      <c r="AJ58" s="415">
        <f t="shared" si="151"/>
        <v>0</v>
      </c>
      <c r="AK58" s="415">
        <f t="shared" si="151"/>
        <v>0</v>
      </c>
      <c r="AL58" s="415">
        <f t="shared" si="151"/>
        <v>0</v>
      </c>
      <c r="AM58" s="415">
        <f t="shared" si="151"/>
        <v>0</v>
      </c>
      <c r="AN58" s="415">
        <f t="shared" si="151"/>
        <v>0</v>
      </c>
      <c r="AO58" s="415">
        <f t="shared" si="151"/>
        <v>0</v>
      </c>
      <c r="AP58" s="415">
        <f t="shared" si="151"/>
        <v>0</v>
      </c>
      <c r="AQ58" s="415">
        <f t="shared" si="151"/>
        <v>0</v>
      </c>
      <c r="AR58" s="415">
        <f t="shared" si="151"/>
        <v>0</v>
      </c>
      <c r="AS58" s="416">
        <f t="shared" si="152"/>
        <v>0</v>
      </c>
      <c r="AT58" s="415">
        <f t="shared" si="153"/>
        <v>7916.666666666667</v>
      </c>
      <c r="AU58" s="415">
        <f t="shared" si="154"/>
        <v>7916.666666666667</v>
      </c>
      <c r="AV58" s="415">
        <f t="shared" si="154"/>
        <v>7916.666666666667</v>
      </c>
      <c r="AW58" s="415">
        <f t="shared" si="154"/>
        <v>7916.666666666667</v>
      </c>
      <c r="AX58" s="415">
        <f t="shared" si="154"/>
        <v>7916.666666666667</v>
      </c>
      <c r="AY58" s="415">
        <f t="shared" si="154"/>
        <v>7916.666666666667</v>
      </c>
      <c r="AZ58" s="415">
        <f t="shared" si="154"/>
        <v>7916.666666666667</v>
      </c>
      <c r="BA58" s="415">
        <f t="shared" si="154"/>
        <v>7916.666666666667</v>
      </c>
      <c r="BB58" s="415">
        <f t="shared" si="154"/>
        <v>7916.666666666667</v>
      </c>
      <c r="BC58" s="415">
        <f t="shared" si="154"/>
        <v>7916.666666666667</v>
      </c>
      <c r="BD58" s="415">
        <f t="shared" si="154"/>
        <v>7916.666666666667</v>
      </c>
      <c r="BE58" s="415">
        <f t="shared" si="154"/>
        <v>7916.666666666667</v>
      </c>
      <c r="BF58" s="416">
        <f t="shared" si="155"/>
        <v>95000.000000000015</v>
      </c>
      <c r="BG58" s="415">
        <f t="shared" si="156"/>
        <v>8233.3333333333339</v>
      </c>
      <c r="BH58" s="415">
        <f t="shared" si="157"/>
        <v>8233.3333333333339</v>
      </c>
      <c r="BI58" s="415">
        <f t="shared" si="157"/>
        <v>8233.3333333333339</v>
      </c>
      <c r="BJ58" s="415">
        <f t="shared" si="157"/>
        <v>8233.3333333333339</v>
      </c>
      <c r="BK58" s="415">
        <f t="shared" si="157"/>
        <v>8233.3333333333339</v>
      </c>
      <c r="BL58" s="415">
        <f t="shared" si="157"/>
        <v>8233.3333333333339</v>
      </c>
      <c r="BM58" s="415">
        <f t="shared" si="157"/>
        <v>8233.3333333333339</v>
      </c>
      <c r="BN58" s="415">
        <f t="shared" si="157"/>
        <v>8233.3333333333339</v>
      </c>
      <c r="BO58" s="415">
        <f t="shared" si="157"/>
        <v>8233.3333333333339</v>
      </c>
      <c r="BP58" s="415">
        <f t="shared" si="157"/>
        <v>8233.3333333333339</v>
      </c>
      <c r="BQ58" s="415">
        <f t="shared" si="157"/>
        <v>8233.3333333333339</v>
      </c>
      <c r="BR58" s="415">
        <f t="shared" si="157"/>
        <v>8233.3333333333339</v>
      </c>
      <c r="BS58" s="416">
        <f t="shared" si="158"/>
        <v>98799.999999999985</v>
      </c>
      <c r="BT58" s="415">
        <f t="shared" si="159"/>
        <v>8562.6666666666679</v>
      </c>
      <c r="BU58" s="415">
        <f t="shared" si="160"/>
        <v>8562.6666666666679</v>
      </c>
      <c r="BV58" s="415">
        <f t="shared" si="160"/>
        <v>8562.6666666666679</v>
      </c>
      <c r="BW58" s="415">
        <f t="shared" si="160"/>
        <v>8562.6666666666679</v>
      </c>
      <c r="BX58" s="415">
        <f t="shared" si="160"/>
        <v>8562.6666666666679</v>
      </c>
      <c r="BY58" s="415">
        <f t="shared" si="160"/>
        <v>8562.6666666666679</v>
      </c>
      <c r="BZ58" s="415">
        <f t="shared" si="160"/>
        <v>8562.6666666666679</v>
      </c>
      <c r="CA58" s="415">
        <f t="shared" si="160"/>
        <v>8562.6666666666679</v>
      </c>
      <c r="CB58" s="415">
        <f t="shared" si="160"/>
        <v>8562.6666666666679</v>
      </c>
      <c r="CC58" s="415">
        <f t="shared" si="160"/>
        <v>8562.6666666666679</v>
      </c>
      <c r="CD58" s="415">
        <f t="shared" si="160"/>
        <v>8562.6666666666679</v>
      </c>
      <c r="CE58" s="415">
        <f t="shared" si="160"/>
        <v>8562.6666666666679</v>
      </c>
      <c r="CF58" s="416">
        <f t="shared" si="161"/>
        <v>102752.00000000004</v>
      </c>
    </row>
    <row r="59" spans="1:84">
      <c r="A59" s="399"/>
      <c r="B59" s="412" t="s">
        <v>137</v>
      </c>
      <c r="C59" s="420" t="s">
        <v>625</v>
      </c>
      <c r="D59" s="423">
        <v>75000</v>
      </c>
      <c r="E59" s="413"/>
      <c r="F59" s="414" t="s">
        <v>319</v>
      </c>
      <c r="G59" s="415"/>
      <c r="H59" s="415"/>
      <c r="I59" s="415"/>
      <c r="J59" s="415"/>
      <c r="K59" s="415"/>
      <c r="L59" s="415"/>
      <c r="M59" s="415"/>
      <c r="N59" s="415"/>
      <c r="O59" s="415"/>
      <c r="P59" s="415"/>
      <c r="Q59" s="415"/>
      <c r="R59" s="415"/>
      <c r="S59" s="416"/>
      <c r="T59" s="415">
        <f t="shared" si="147"/>
        <v>0</v>
      </c>
      <c r="U59" s="415">
        <f t="shared" si="148"/>
        <v>0</v>
      </c>
      <c r="V59" s="415">
        <f t="shared" si="148"/>
        <v>0</v>
      </c>
      <c r="W59" s="415">
        <f t="shared" si="148"/>
        <v>0</v>
      </c>
      <c r="X59" s="415">
        <f t="shared" si="148"/>
        <v>0</v>
      </c>
      <c r="Y59" s="415">
        <f t="shared" si="148"/>
        <v>0</v>
      </c>
      <c r="Z59" s="415">
        <f t="shared" si="148"/>
        <v>0</v>
      </c>
      <c r="AA59" s="415">
        <f t="shared" si="148"/>
        <v>0</v>
      </c>
      <c r="AB59" s="415">
        <f t="shared" si="148"/>
        <v>0</v>
      </c>
      <c r="AC59" s="415">
        <f t="shared" si="148"/>
        <v>0</v>
      </c>
      <c r="AD59" s="415">
        <f t="shared" si="148"/>
        <v>0</v>
      </c>
      <c r="AE59" s="415">
        <f t="shared" si="148"/>
        <v>0</v>
      </c>
      <c r="AF59" s="416">
        <f t="shared" si="149"/>
        <v>0</v>
      </c>
      <c r="AG59" s="415">
        <f t="shared" si="150"/>
        <v>0</v>
      </c>
      <c r="AH59" s="415">
        <f t="shared" si="151"/>
        <v>0</v>
      </c>
      <c r="AI59" s="415">
        <f t="shared" si="151"/>
        <v>0</v>
      </c>
      <c r="AJ59" s="415">
        <f t="shared" si="151"/>
        <v>0</v>
      </c>
      <c r="AK59" s="415">
        <f t="shared" si="151"/>
        <v>0</v>
      </c>
      <c r="AL59" s="415">
        <f t="shared" si="151"/>
        <v>0</v>
      </c>
      <c r="AM59" s="415">
        <f t="shared" si="151"/>
        <v>0</v>
      </c>
      <c r="AN59" s="415">
        <f t="shared" si="151"/>
        <v>0</v>
      </c>
      <c r="AO59" s="415">
        <f t="shared" si="151"/>
        <v>0</v>
      </c>
      <c r="AP59" s="415">
        <f t="shared" si="151"/>
        <v>0</v>
      </c>
      <c r="AQ59" s="415">
        <f t="shared" si="151"/>
        <v>0</v>
      </c>
      <c r="AR59" s="415">
        <f t="shared" si="151"/>
        <v>0</v>
      </c>
      <c r="AS59" s="416">
        <f t="shared" si="152"/>
        <v>0</v>
      </c>
      <c r="AT59" s="415">
        <f t="shared" si="153"/>
        <v>6250</v>
      </c>
      <c r="AU59" s="415">
        <f t="shared" si="154"/>
        <v>6250</v>
      </c>
      <c r="AV59" s="415">
        <f t="shared" si="154"/>
        <v>6250</v>
      </c>
      <c r="AW59" s="415">
        <f t="shared" si="154"/>
        <v>6250</v>
      </c>
      <c r="AX59" s="415">
        <f t="shared" si="154"/>
        <v>6250</v>
      </c>
      <c r="AY59" s="415">
        <f t="shared" si="154"/>
        <v>6250</v>
      </c>
      <c r="AZ59" s="415">
        <f t="shared" si="154"/>
        <v>6250</v>
      </c>
      <c r="BA59" s="415">
        <f t="shared" si="154"/>
        <v>6250</v>
      </c>
      <c r="BB59" s="415">
        <f t="shared" si="154"/>
        <v>6250</v>
      </c>
      <c r="BC59" s="415">
        <f t="shared" si="154"/>
        <v>6250</v>
      </c>
      <c r="BD59" s="415">
        <f t="shared" si="154"/>
        <v>6250</v>
      </c>
      <c r="BE59" s="415">
        <f t="shared" si="154"/>
        <v>6250</v>
      </c>
      <c r="BF59" s="416">
        <f t="shared" si="155"/>
        <v>75000</v>
      </c>
      <c r="BG59" s="415">
        <f t="shared" si="156"/>
        <v>6500</v>
      </c>
      <c r="BH59" s="415">
        <f t="shared" si="157"/>
        <v>6500</v>
      </c>
      <c r="BI59" s="415">
        <f t="shared" si="157"/>
        <v>6500</v>
      </c>
      <c r="BJ59" s="415">
        <f t="shared" si="157"/>
        <v>6500</v>
      </c>
      <c r="BK59" s="415">
        <f t="shared" si="157"/>
        <v>6500</v>
      </c>
      <c r="BL59" s="415">
        <f t="shared" si="157"/>
        <v>6500</v>
      </c>
      <c r="BM59" s="415">
        <f t="shared" si="157"/>
        <v>6500</v>
      </c>
      <c r="BN59" s="415">
        <f t="shared" si="157"/>
        <v>6500</v>
      </c>
      <c r="BO59" s="415">
        <f t="shared" si="157"/>
        <v>6500</v>
      </c>
      <c r="BP59" s="415">
        <f t="shared" si="157"/>
        <v>6500</v>
      </c>
      <c r="BQ59" s="415">
        <f t="shared" si="157"/>
        <v>6500</v>
      </c>
      <c r="BR59" s="415">
        <f t="shared" si="157"/>
        <v>6500</v>
      </c>
      <c r="BS59" s="416">
        <f t="shared" si="158"/>
        <v>78000</v>
      </c>
      <c r="BT59" s="415">
        <f t="shared" si="159"/>
        <v>6760</v>
      </c>
      <c r="BU59" s="415">
        <f t="shared" si="160"/>
        <v>6760</v>
      </c>
      <c r="BV59" s="415">
        <f t="shared" si="160"/>
        <v>6760</v>
      </c>
      <c r="BW59" s="415">
        <f t="shared" si="160"/>
        <v>6760</v>
      </c>
      <c r="BX59" s="415">
        <f t="shared" si="160"/>
        <v>6760</v>
      </c>
      <c r="BY59" s="415">
        <f t="shared" si="160"/>
        <v>6760</v>
      </c>
      <c r="BZ59" s="415">
        <f t="shared" si="160"/>
        <v>6760</v>
      </c>
      <c r="CA59" s="415">
        <f t="shared" si="160"/>
        <v>6760</v>
      </c>
      <c r="CB59" s="415">
        <f t="shared" si="160"/>
        <v>6760</v>
      </c>
      <c r="CC59" s="415">
        <f t="shared" si="160"/>
        <v>6760</v>
      </c>
      <c r="CD59" s="415">
        <f t="shared" si="160"/>
        <v>6760</v>
      </c>
      <c r="CE59" s="415">
        <f t="shared" si="160"/>
        <v>6760</v>
      </c>
      <c r="CF59" s="416">
        <f t="shared" si="161"/>
        <v>81120</v>
      </c>
    </row>
    <row r="60" spans="1:84">
      <c r="A60" s="399"/>
      <c r="B60" s="412" t="s">
        <v>137</v>
      </c>
      <c r="C60" s="420" t="s">
        <v>626</v>
      </c>
      <c r="D60" s="423">
        <v>75000</v>
      </c>
      <c r="E60" s="413"/>
      <c r="F60" s="414" t="s">
        <v>312</v>
      </c>
      <c r="G60" s="415"/>
      <c r="H60" s="415"/>
      <c r="I60" s="415"/>
      <c r="J60" s="415"/>
      <c r="K60" s="415"/>
      <c r="L60" s="415"/>
      <c r="M60" s="415"/>
      <c r="N60" s="415"/>
      <c r="O60" s="415"/>
      <c r="P60" s="415"/>
      <c r="Q60" s="415"/>
      <c r="R60" s="415"/>
      <c r="S60" s="416"/>
      <c r="T60" s="415">
        <f t="shared" si="147"/>
        <v>0</v>
      </c>
      <c r="U60" s="415">
        <f t="shared" ref="U60:AE61" si="227">IF($F60=U$6,(($D60+$E60)/12),T60)</f>
        <v>0</v>
      </c>
      <c r="V60" s="415">
        <f t="shared" si="227"/>
        <v>0</v>
      </c>
      <c r="W60" s="415">
        <f t="shared" si="227"/>
        <v>0</v>
      </c>
      <c r="X60" s="415">
        <f t="shared" si="227"/>
        <v>0</v>
      </c>
      <c r="Y60" s="415">
        <f t="shared" si="227"/>
        <v>0</v>
      </c>
      <c r="Z60" s="415">
        <f t="shared" si="227"/>
        <v>0</v>
      </c>
      <c r="AA60" s="415">
        <f t="shared" si="227"/>
        <v>0</v>
      </c>
      <c r="AB60" s="415">
        <f t="shared" si="227"/>
        <v>0</v>
      </c>
      <c r="AC60" s="415">
        <f t="shared" si="227"/>
        <v>0</v>
      </c>
      <c r="AD60" s="415">
        <f t="shared" si="227"/>
        <v>0</v>
      </c>
      <c r="AE60" s="415">
        <f t="shared" si="227"/>
        <v>0</v>
      </c>
      <c r="AF60" s="416">
        <f t="shared" si="149"/>
        <v>0</v>
      </c>
      <c r="AG60" s="415">
        <f t="shared" si="150"/>
        <v>0</v>
      </c>
      <c r="AH60" s="415">
        <f t="shared" ref="AH60:AR61" si="228">IF($F60=AH$6,(($D60+$E60)/12),AG60)</f>
        <v>0</v>
      </c>
      <c r="AI60" s="415">
        <f t="shared" si="228"/>
        <v>0</v>
      </c>
      <c r="AJ60" s="415">
        <f t="shared" si="228"/>
        <v>0</v>
      </c>
      <c r="AK60" s="415">
        <f t="shared" si="228"/>
        <v>0</v>
      </c>
      <c r="AL60" s="415">
        <f t="shared" si="228"/>
        <v>6250</v>
      </c>
      <c r="AM60" s="415">
        <f t="shared" si="228"/>
        <v>6250</v>
      </c>
      <c r="AN60" s="415">
        <f t="shared" si="228"/>
        <v>6250</v>
      </c>
      <c r="AO60" s="415">
        <f t="shared" si="228"/>
        <v>6250</v>
      </c>
      <c r="AP60" s="415">
        <f t="shared" si="228"/>
        <v>6250</v>
      </c>
      <c r="AQ60" s="415">
        <f t="shared" si="228"/>
        <v>6250</v>
      </c>
      <c r="AR60" s="415">
        <f t="shared" si="228"/>
        <v>6250</v>
      </c>
      <c r="AS60" s="416">
        <f t="shared" si="152"/>
        <v>43750</v>
      </c>
      <c r="AT60" s="415">
        <f t="shared" si="153"/>
        <v>6500</v>
      </c>
      <c r="AU60" s="415">
        <f t="shared" ref="AU60:BE61" si="229">IF($F60=AU$6,(($D60+$E60)/12),AT60)</f>
        <v>6500</v>
      </c>
      <c r="AV60" s="415">
        <f t="shared" si="229"/>
        <v>6500</v>
      </c>
      <c r="AW60" s="415">
        <f t="shared" si="229"/>
        <v>6500</v>
      </c>
      <c r="AX60" s="415">
        <f t="shared" si="229"/>
        <v>6500</v>
      </c>
      <c r="AY60" s="415">
        <f t="shared" si="229"/>
        <v>6500</v>
      </c>
      <c r="AZ60" s="415">
        <f t="shared" si="229"/>
        <v>6500</v>
      </c>
      <c r="BA60" s="415">
        <f t="shared" si="229"/>
        <v>6500</v>
      </c>
      <c r="BB60" s="415">
        <f t="shared" si="229"/>
        <v>6500</v>
      </c>
      <c r="BC60" s="415">
        <f t="shared" si="229"/>
        <v>6500</v>
      </c>
      <c r="BD60" s="415">
        <f t="shared" si="229"/>
        <v>6500</v>
      </c>
      <c r="BE60" s="415">
        <f t="shared" si="229"/>
        <v>6500</v>
      </c>
      <c r="BF60" s="416">
        <f t="shared" si="155"/>
        <v>78000</v>
      </c>
      <c r="BG60" s="415">
        <f t="shared" si="156"/>
        <v>6760</v>
      </c>
      <c r="BH60" s="415">
        <f t="shared" ref="BH60:BR61" si="230">IF($F60=BH$6,(($D60+$E60)/12),BG60)</f>
        <v>6760</v>
      </c>
      <c r="BI60" s="415">
        <f t="shared" si="230"/>
        <v>6760</v>
      </c>
      <c r="BJ60" s="415">
        <f t="shared" si="230"/>
        <v>6760</v>
      </c>
      <c r="BK60" s="415">
        <f t="shared" si="230"/>
        <v>6760</v>
      </c>
      <c r="BL60" s="415">
        <f t="shared" si="230"/>
        <v>6760</v>
      </c>
      <c r="BM60" s="415">
        <f t="shared" si="230"/>
        <v>6760</v>
      </c>
      <c r="BN60" s="415">
        <f t="shared" si="230"/>
        <v>6760</v>
      </c>
      <c r="BO60" s="415">
        <f t="shared" si="230"/>
        <v>6760</v>
      </c>
      <c r="BP60" s="415">
        <f t="shared" si="230"/>
        <v>6760</v>
      </c>
      <c r="BQ60" s="415">
        <f t="shared" si="230"/>
        <v>6760</v>
      </c>
      <c r="BR60" s="415">
        <f t="shared" si="230"/>
        <v>6760</v>
      </c>
      <c r="BS60" s="416">
        <f t="shared" si="158"/>
        <v>81120</v>
      </c>
      <c r="BT60" s="415">
        <f t="shared" si="159"/>
        <v>7030.4000000000005</v>
      </c>
      <c r="BU60" s="415">
        <f t="shared" ref="BU60:CE61" si="231">IF($F60=BU$6,(($D60+$E60)/12),BT60)</f>
        <v>7030.4000000000005</v>
      </c>
      <c r="BV60" s="415">
        <f t="shared" si="231"/>
        <v>7030.4000000000005</v>
      </c>
      <c r="BW60" s="415">
        <f t="shared" si="231"/>
        <v>7030.4000000000005</v>
      </c>
      <c r="BX60" s="415">
        <f t="shared" si="231"/>
        <v>7030.4000000000005</v>
      </c>
      <c r="BY60" s="415">
        <f t="shared" si="231"/>
        <v>7030.4000000000005</v>
      </c>
      <c r="BZ60" s="415">
        <f t="shared" si="231"/>
        <v>7030.4000000000005</v>
      </c>
      <c r="CA60" s="415">
        <f t="shared" si="231"/>
        <v>7030.4000000000005</v>
      </c>
      <c r="CB60" s="415">
        <f t="shared" si="231"/>
        <v>7030.4000000000005</v>
      </c>
      <c r="CC60" s="415">
        <f t="shared" si="231"/>
        <v>7030.4000000000005</v>
      </c>
      <c r="CD60" s="415">
        <f t="shared" si="231"/>
        <v>7030.4000000000005</v>
      </c>
      <c r="CE60" s="415">
        <f t="shared" si="231"/>
        <v>7030.4000000000005</v>
      </c>
      <c r="CF60" s="416">
        <f t="shared" si="161"/>
        <v>84364.799999999988</v>
      </c>
    </row>
    <row r="61" spans="1:84">
      <c r="A61" s="399"/>
      <c r="B61" s="412" t="s">
        <v>627</v>
      </c>
      <c r="C61" s="412" t="s">
        <v>628</v>
      </c>
      <c r="D61" s="413">
        <v>85000</v>
      </c>
      <c r="E61" s="413"/>
      <c r="F61" s="414" t="s">
        <v>319</v>
      </c>
      <c r="G61" s="415"/>
      <c r="H61" s="415"/>
      <c r="I61" s="415"/>
      <c r="J61" s="415"/>
      <c r="K61" s="415"/>
      <c r="L61" s="415"/>
      <c r="M61" s="415"/>
      <c r="N61" s="415"/>
      <c r="O61" s="415"/>
      <c r="P61" s="415"/>
      <c r="Q61" s="415"/>
      <c r="R61" s="415"/>
      <c r="S61" s="416"/>
      <c r="T61" s="415">
        <f t="shared" si="147"/>
        <v>0</v>
      </c>
      <c r="U61" s="415">
        <f t="shared" si="227"/>
        <v>0</v>
      </c>
      <c r="V61" s="415">
        <f t="shared" si="227"/>
        <v>0</v>
      </c>
      <c r="W61" s="415">
        <f t="shared" si="227"/>
        <v>0</v>
      </c>
      <c r="X61" s="415">
        <f t="shared" si="227"/>
        <v>0</v>
      </c>
      <c r="Y61" s="415">
        <f t="shared" si="227"/>
        <v>0</v>
      </c>
      <c r="Z61" s="415">
        <f t="shared" si="227"/>
        <v>0</v>
      </c>
      <c r="AA61" s="415">
        <f t="shared" si="227"/>
        <v>0</v>
      </c>
      <c r="AB61" s="415">
        <f t="shared" si="227"/>
        <v>0</v>
      </c>
      <c r="AC61" s="415">
        <f t="shared" si="227"/>
        <v>0</v>
      </c>
      <c r="AD61" s="415">
        <f t="shared" si="227"/>
        <v>0</v>
      </c>
      <c r="AE61" s="415">
        <f t="shared" si="227"/>
        <v>0</v>
      </c>
      <c r="AF61" s="416">
        <f t="shared" si="149"/>
        <v>0</v>
      </c>
      <c r="AG61" s="415">
        <f t="shared" si="150"/>
        <v>0</v>
      </c>
      <c r="AH61" s="415">
        <f t="shared" si="228"/>
        <v>0</v>
      </c>
      <c r="AI61" s="415">
        <f t="shared" si="228"/>
        <v>0</v>
      </c>
      <c r="AJ61" s="415">
        <f t="shared" si="228"/>
        <v>0</v>
      </c>
      <c r="AK61" s="415">
        <f t="shared" si="228"/>
        <v>0</v>
      </c>
      <c r="AL61" s="415">
        <f t="shared" si="228"/>
        <v>0</v>
      </c>
      <c r="AM61" s="415">
        <f t="shared" si="228"/>
        <v>0</v>
      </c>
      <c r="AN61" s="415">
        <f t="shared" si="228"/>
        <v>0</v>
      </c>
      <c r="AO61" s="415">
        <f t="shared" si="228"/>
        <v>0</v>
      </c>
      <c r="AP61" s="415">
        <f t="shared" si="228"/>
        <v>0</v>
      </c>
      <c r="AQ61" s="415">
        <f t="shared" si="228"/>
        <v>0</v>
      </c>
      <c r="AR61" s="415">
        <f t="shared" si="228"/>
        <v>0</v>
      </c>
      <c r="AS61" s="416">
        <f t="shared" si="152"/>
        <v>0</v>
      </c>
      <c r="AT61" s="415">
        <f t="shared" si="153"/>
        <v>7083.333333333333</v>
      </c>
      <c r="AU61" s="415">
        <f t="shared" si="229"/>
        <v>7083.333333333333</v>
      </c>
      <c r="AV61" s="415">
        <f t="shared" si="229"/>
        <v>7083.333333333333</v>
      </c>
      <c r="AW61" s="415">
        <f t="shared" si="229"/>
        <v>7083.333333333333</v>
      </c>
      <c r="AX61" s="415">
        <f t="shared" si="229"/>
        <v>7083.333333333333</v>
      </c>
      <c r="AY61" s="415">
        <f t="shared" si="229"/>
        <v>7083.333333333333</v>
      </c>
      <c r="AZ61" s="415">
        <f t="shared" si="229"/>
        <v>7083.333333333333</v>
      </c>
      <c r="BA61" s="415">
        <f t="shared" si="229"/>
        <v>7083.333333333333</v>
      </c>
      <c r="BB61" s="415">
        <f t="shared" si="229"/>
        <v>7083.333333333333</v>
      </c>
      <c r="BC61" s="415">
        <f t="shared" si="229"/>
        <v>7083.333333333333</v>
      </c>
      <c r="BD61" s="415">
        <f t="shared" si="229"/>
        <v>7083.333333333333</v>
      </c>
      <c r="BE61" s="415">
        <f t="shared" si="229"/>
        <v>7083.333333333333</v>
      </c>
      <c r="BF61" s="416">
        <f t="shared" si="155"/>
        <v>85000</v>
      </c>
      <c r="BG61" s="415">
        <f t="shared" si="156"/>
        <v>7366.666666666667</v>
      </c>
      <c r="BH61" s="415">
        <f t="shared" si="230"/>
        <v>7366.666666666667</v>
      </c>
      <c r="BI61" s="415">
        <f t="shared" si="230"/>
        <v>7366.666666666667</v>
      </c>
      <c r="BJ61" s="415">
        <f t="shared" si="230"/>
        <v>7366.666666666667</v>
      </c>
      <c r="BK61" s="415">
        <f t="shared" si="230"/>
        <v>7366.666666666667</v>
      </c>
      <c r="BL61" s="415">
        <f t="shared" si="230"/>
        <v>7366.666666666667</v>
      </c>
      <c r="BM61" s="415">
        <f t="shared" si="230"/>
        <v>7366.666666666667</v>
      </c>
      <c r="BN61" s="415">
        <f t="shared" si="230"/>
        <v>7366.666666666667</v>
      </c>
      <c r="BO61" s="415">
        <f t="shared" si="230"/>
        <v>7366.666666666667</v>
      </c>
      <c r="BP61" s="415">
        <f t="shared" si="230"/>
        <v>7366.666666666667</v>
      </c>
      <c r="BQ61" s="415">
        <f t="shared" si="230"/>
        <v>7366.666666666667</v>
      </c>
      <c r="BR61" s="415">
        <f t="shared" si="230"/>
        <v>7366.666666666667</v>
      </c>
      <c r="BS61" s="416">
        <f t="shared" si="158"/>
        <v>88400.000000000015</v>
      </c>
      <c r="BT61" s="415">
        <f t="shared" si="159"/>
        <v>7661.3333333333339</v>
      </c>
      <c r="BU61" s="415">
        <f t="shared" si="231"/>
        <v>7661.3333333333339</v>
      </c>
      <c r="BV61" s="415">
        <f t="shared" si="231"/>
        <v>7661.3333333333339</v>
      </c>
      <c r="BW61" s="415">
        <f t="shared" si="231"/>
        <v>7661.3333333333339</v>
      </c>
      <c r="BX61" s="415">
        <f t="shared" si="231"/>
        <v>7661.3333333333339</v>
      </c>
      <c r="BY61" s="415">
        <f t="shared" si="231"/>
        <v>7661.3333333333339</v>
      </c>
      <c r="BZ61" s="415">
        <f t="shared" si="231"/>
        <v>7661.3333333333339</v>
      </c>
      <c r="CA61" s="415">
        <f t="shared" si="231"/>
        <v>7661.3333333333339</v>
      </c>
      <c r="CB61" s="415">
        <f t="shared" si="231"/>
        <v>7661.3333333333339</v>
      </c>
      <c r="CC61" s="415">
        <f t="shared" si="231"/>
        <v>7661.3333333333339</v>
      </c>
      <c r="CD61" s="415">
        <f t="shared" si="231"/>
        <v>7661.3333333333339</v>
      </c>
      <c r="CE61" s="415">
        <f t="shared" si="231"/>
        <v>7661.3333333333339</v>
      </c>
      <c r="CF61" s="416">
        <f t="shared" si="161"/>
        <v>91936</v>
      </c>
    </row>
    <row r="62" spans="1:84">
      <c r="A62" s="408" t="s">
        <v>629</v>
      </c>
      <c r="B62" s="399"/>
      <c r="C62" s="424"/>
      <c r="D62" s="413"/>
      <c r="E62" s="413"/>
      <c r="F62" s="414"/>
      <c r="G62" s="415"/>
      <c r="H62" s="415"/>
      <c r="I62" s="415"/>
      <c r="J62" s="415"/>
      <c r="K62" s="415"/>
      <c r="L62" s="415"/>
      <c r="M62" s="415"/>
      <c r="N62" s="415"/>
      <c r="O62" s="415"/>
      <c r="P62" s="415"/>
      <c r="Q62" s="415"/>
      <c r="R62" s="415"/>
      <c r="S62" s="416"/>
      <c r="T62" s="415"/>
      <c r="U62" s="415"/>
      <c r="V62" s="415"/>
      <c r="W62" s="415"/>
      <c r="X62" s="415"/>
      <c r="Y62" s="415"/>
      <c r="Z62" s="415"/>
      <c r="AA62" s="415"/>
      <c r="AB62" s="415"/>
      <c r="AC62" s="415"/>
      <c r="AD62" s="415"/>
      <c r="AE62" s="415"/>
      <c r="AF62" s="416"/>
      <c r="AG62" s="415"/>
      <c r="AH62" s="415"/>
      <c r="AI62" s="415"/>
      <c r="AJ62" s="415"/>
      <c r="AK62" s="415"/>
      <c r="AL62" s="415"/>
      <c r="AM62" s="415"/>
      <c r="AN62" s="415"/>
      <c r="AO62" s="415"/>
      <c r="AP62" s="415"/>
      <c r="AQ62" s="415"/>
      <c r="AR62" s="415"/>
      <c r="AS62" s="416"/>
      <c r="AT62" s="415"/>
      <c r="AU62" s="415"/>
      <c r="AV62" s="415"/>
      <c r="AW62" s="415"/>
      <c r="AX62" s="415"/>
      <c r="AY62" s="415"/>
      <c r="AZ62" s="415"/>
      <c r="BA62" s="415"/>
      <c r="BB62" s="415"/>
      <c r="BC62" s="415"/>
      <c r="BD62" s="415"/>
      <c r="BE62" s="415"/>
      <c r="BF62" s="416"/>
      <c r="BG62" s="415"/>
      <c r="BH62" s="415"/>
      <c r="BI62" s="415"/>
      <c r="BJ62" s="415"/>
      <c r="BK62" s="415"/>
      <c r="BL62" s="415"/>
      <c r="BM62" s="415"/>
      <c r="BN62" s="415"/>
      <c r="BO62" s="415"/>
      <c r="BP62" s="415"/>
      <c r="BQ62" s="415"/>
      <c r="BR62" s="415"/>
      <c r="BS62" s="416"/>
      <c r="BT62" s="415"/>
      <c r="BU62" s="415"/>
      <c r="BV62" s="415"/>
      <c r="BW62" s="415"/>
      <c r="BX62" s="415"/>
      <c r="BY62" s="415"/>
      <c r="BZ62" s="415"/>
      <c r="CA62" s="415"/>
      <c r="CB62" s="415"/>
      <c r="CC62" s="415"/>
      <c r="CD62" s="415"/>
      <c r="CE62" s="415"/>
      <c r="CF62" s="416"/>
    </row>
    <row r="63" spans="1:84">
      <c r="A63" s="399"/>
      <c r="B63" s="426" t="s">
        <v>137</v>
      </c>
      <c r="C63" s="420" t="s">
        <v>630</v>
      </c>
      <c r="D63" s="423">
        <v>240000</v>
      </c>
      <c r="E63" s="427"/>
      <c r="F63" s="414" t="s">
        <v>313</v>
      </c>
      <c r="G63" s="415">
        <f t="shared" si="105"/>
        <v>0</v>
      </c>
      <c r="H63" s="415">
        <f t="shared" si="4"/>
        <v>0</v>
      </c>
      <c r="I63" s="415">
        <f t="shared" si="4"/>
        <v>0</v>
      </c>
      <c r="J63" s="415">
        <f t="shared" si="4"/>
        <v>0</v>
      </c>
      <c r="K63" s="415">
        <f t="shared" si="4"/>
        <v>0</v>
      </c>
      <c r="L63" s="415">
        <f t="shared" si="4"/>
        <v>0</v>
      </c>
      <c r="M63" s="415">
        <f t="shared" si="4"/>
        <v>0</v>
      </c>
      <c r="N63" s="415">
        <f t="shared" si="4"/>
        <v>0</v>
      </c>
      <c r="O63" s="415">
        <f t="shared" si="4"/>
        <v>0</v>
      </c>
      <c r="P63" s="415">
        <f t="shared" si="4"/>
        <v>0</v>
      </c>
      <c r="Q63" s="415">
        <f t="shared" si="4"/>
        <v>0</v>
      </c>
      <c r="R63" s="415">
        <f t="shared" si="4"/>
        <v>0</v>
      </c>
      <c r="S63" s="416">
        <f t="shared" si="5"/>
        <v>0</v>
      </c>
      <c r="T63" s="415">
        <f t="shared" ref="T63:T74" si="232">IF($F63=T$6,(($D63+$E63)*(1+$T$8))/12,R63*(1+T$8))</f>
        <v>0</v>
      </c>
      <c r="U63" s="415">
        <f t="shared" ref="U63:AE74" si="233">IF($F63=U$6,(($D63+$E63)/12),T63)</f>
        <v>0</v>
      </c>
      <c r="V63" s="415">
        <f t="shared" si="122"/>
        <v>0</v>
      </c>
      <c r="W63" s="415">
        <f t="shared" si="122"/>
        <v>0</v>
      </c>
      <c r="X63" s="415">
        <f t="shared" si="122"/>
        <v>0</v>
      </c>
      <c r="Y63" s="415">
        <f t="shared" si="122"/>
        <v>0</v>
      </c>
      <c r="Z63" s="415">
        <f t="shared" si="122"/>
        <v>0</v>
      </c>
      <c r="AA63" s="415">
        <f t="shared" si="122"/>
        <v>0</v>
      </c>
      <c r="AB63" s="415">
        <f t="shared" si="122"/>
        <v>0</v>
      </c>
      <c r="AC63" s="415">
        <f t="shared" si="122"/>
        <v>0</v>
      </c>
      <c r="AD63" s="415">
        <f t="shared" si="122"/>
        <v>0</v>
      </c>
      <c r="AE63" s="415">
        <f t="shared" si="122"/>
        <v>0</v>
      </c>
      <c r="AF63" s="416">
        <f t="shared" ref="AF63:AF74" si="234">SUM(T63:AE63)</f>
        <v>0</v>
      </c>
      <c r="AG63" s="415">
        <f t="shared" ref="AG63:AG74" si="235">IF($F63=AG$6,($D63+$E63)/12,AE63*(1+AG$8))</f>
        <v>0</v>
      </c>
      <c r="AH63" s="415">
        <f t="shared" ref="AH63:AR74" si="236">IF($F63=AH$6,(($D63+$E63)/12),AG63)</f>
        <v>0</v>
      </c>
      <c r="AI63" s="415">
        <f t="shared" si="123"/>
        <v>0</v>
      </c>
      <c r="AJ63" s="415">
        <f t="shared" si="123"/>
        <v>0</v>
      </c>
      <c r="AK63" s="415">
        <f t="shared" si="123"/>
        <v>0</v>
      </c>
      <c r="AL63" s="415">
        <f t="shared" si="123"/>
        <v>0</v>
      </c>
      <c r="AM63" s="415">
        <f t="shared" si="123"/>
        <v>20000</v>
      </c>
      <c r="AN63" s="415">
        <f t="shared" si="123"/>
        <v>20000</v>
      </c>
      <c r="AO63" s="415">
        <f t="shared" si="123"/>
        <v>20000</v>
      </c>
      <c r="AP63" s="415">
        <f t="shared" si="123"/>
        <v>20000</v>
      </c>
      <c r="AQ63" s="415">
        <f t="shared" si="123"/>
        <v>20000</v>
      </c>
      <c r="AR63" s="415">
        <f t="shared" si="123"/>
        <v>20000</v>
      </c>
      <c r="AS63" s="416">
        <f t="shared" ref="AS63:AS74" si="237">SUM(AG63:AR63)</f>
        <v>120000</v>
      </c>
      <c r="AT63" s="415">
        <f t="shared" ref="AT63:AT74" si="238">IF($F63=AT$6,($D63+$E63)/12,AR63*(1+AT$8))</f>
        <v>20800</v>
      </c>
      <c r="AU63" s="415">
        <f t="shared" ref="AU63:BE74" si="239">IF($F63=AU$6,(($D63+$E63)/12),AT63)</f>
        <v>20800</v>
      </c>
      <c r="AV63" s="415">
        <f t="shared" si="124"/>
        <v>20800</v>
      </c>
      <c r="AW63" s="415">
        <f t="shared" si="124"/>
        <v>20800</v>
      </c>
      <c r="AX63" s="415">
        <f t="shared" si="124"/>
        <v>20800</v>
      </c>
      <c r="AY63" s="415">
        <f t="shared" si="124"/>
        <v>20800</v>
      </c>
      <c r="AZ63" s="415">
        <f t="shared" si="124"/>
        <v>20800</v>
      </c>
      <c r="BA63" s="415">
        <f t="shared" si="124"/>
        <v>20800</v>
      </c>
      <c r="BB63" s="415">
        <f t="shared" si="124"/>
        <v>20800</v>
      </c>
      <c r="BC63" s="415">
        <f t="shared" si="124"/>
        <v>20800</v>
      </c>
      <c r="BD63" s="415">
        <f t="shared" si="124"/>
        <v>20800</v>
      </c>
      <c r="BE63" s="415">
        <f t="shared" si="124"/>
        <v>20800</v>
      </c>
      <c r="BF63" s="416">
        <f t="shared" ref="BF63:BF74" si="240">SUM(AT63:BE63)</f>
        <v>249600</v>
      </c>
      <c r="BG63" s="415">
        <f t="shared" ref="BG63:BG74" si="241">IF($F63=BG$6,($D63+$E63)/12,BE63*(1+BG$8))</f>
        <v>21632</v>
      </c>
      <c r="BH63" s="415">
        <f t="shared" ref="BH63:BR74" si="242">IF($F63=BH$6,(($D63+$E63)/12),BG63)</f>
        <v>21632</v>
      </c>
      <c r="BI63" s="415">
        <f t="shared" si="242"/>
        <v>21632</v>
      </c>
      <c r="BJ63" s="415">
        <f t="shared" si="242"/>
        <v>21632</v>
      </c>
      <c r="BK63" s="415">
        <f t="shared" si="242"/>
        <v>21632</v>
      </c>
      <c r="BL63" s="415">
        <f t="shared" si="242"/>
        <v>21632</v>
      </c>
      <c r="BM63" s="415">
        <f t="shared" si="242"/>
        <v>21632</v>
      </c>
      <c r="BN63" s="415">
        <f t="shared" si="242"/>
        <v>21632</v>
      </c>
      <c r="BO63" s="415">
        <f t="shared" si="242"/>
        <v>21632</v>
      </c>
      <c r="BP63" s="415">
        <f t="shared" si="242"/>
        <v>21632</v>
      </c>
      <c r="BQ63" s="415">
        <f t="shared" si="242"/>
        <v>21632</v>
      </c>
      <c r="BR63" s="415">
        <f t="shared" si="242"/>
        <v>21632</v>
      </c>
      <c r="BS63" s="416">
        <f t="shared" ref="BS63:BS74" si="243">SUM(BG63:BR63)</f>
        <v>259584</v>
      </c>
      <c r="BT63" s="415">
        <f t="shared" ref="BT63:BT74" si="244">IF($F63=BT$6,($D63+$E63)/12,BR63*(1+BT$8))</f>
        <v>22497.280000000002</v>
      </c>
      <c r="BU63" s="415">
        <f t="shared" ref="BU63:CE74" si="245">IF($F63=BU$6,(($D63+$E63)/12),BT63)</f>
        <v>22497.280000000002</v>
      </c>
      <c r="BV63" s="415">
        <f t="shared" si="245"/>
        <v>22497.280000000002</v>
      </c>
      <c r="BW63" s="415">
        <f t="shared" si="245"/>
        <v>22497.280000000002</v>
      </c>
      <c r="BX63" s="415">
        <f t="shared" si="245"/>
        <v>22497.280000000002</v>
      </c>
      <c r="BY63" s="415">
        <f t="shared" si="245"/>
        <v>22497.280000000002</v>
      </c>
      <c r="BZ63" s="415">
        <f t="shared" si="245"/>
        <v>22497.280000000002</v>
      </c>
      <c r="CA63" s="415">
        <f t="shared" si="245"/>
        <v>22497.280000000002</v>
      </c>
      <c r="CB63" s="415">
        <f t="shared" si="245"/>
        <v>22497.280000000002</v>
      </c>
      <c r="CC63" s="415">
        <f t="shared" si="245"/>
        <v>22497.280000000002</v>
      </c>
      <c r="CD63" s="415">
        <f t="shared" si="245"/>
        <v>22497.280000000002</v>
      </c>
      <c r="CE63" s="415">
        <f t="shared" si="245"/>
        <v>22497.280000000002</v>
      </c>
      <c r="CF63" s="416">
        <f t="shared" ref="CF63:CF74" si="246">SUM(BT63:CE63)</f>
        <v>269967.36000000004</v>
      </c>
    </row>
    <row r="64" spans="1:84">
      <c r="A64" s="399"/>
      <c r="B64" s="426" t="s">
        <v>137</v>
      </c>
      <c r="C64" s="534" t="s">
        <v>787</v>
      </c>
      <c r="D64" s="423">
        <v>120000</v>
      </c>
      <c r="E64" s="427"/>
      <c r="F64" s="414" t="s">
        <v>313</v>
      </c>
      <c r="G64" s="415">
        <f t="shared" si="105"/>
        <v>0</v>
      </c>
      <c r="H64" s="415">
        <f t="shared" si="4"/>
        <v>0</v>
      </c>
      <c r="I64" s="415">
        <f t="shared" si="4"/>
        <v>0</v>
      </c>
      <c r="J64" s="415">
        <f t="shared" si="4"/>
        <v>0</v>
      </c>
      <c r="K64" s="415">
        <f t="shared" si="4"/>
        <v>0</v>
      </c>
      <c r="L64" s="415">
        <f t="shared" si="4"/>
        <v>0</v>
      </c>
      <c r="M64" s="415">
        <f t="shared" si="4"/>
        <v>0</v>
      </c>
      <c r="N64" s="415">
        <f t="shared" si="4"/>
        <v>0</v>
      </c>
      <c r="O64" s="415">
        <f t="shared" si="4"/>
        <v>0</v>
      </c>
      <c r="P64" s="415">
        <f t="shared" si="4"/>
        <v>0</v>
      </c>
      <c r="Q64" s="415">
        <f t="shared" si="4"/>
        <v>0</v>
      </c>
      <c r="R64" s="415">
        <f t="shared" si="4"/>
        <v>0</v>
      </c>
      <c r="S64" s="416">
        <f t="shared" si="5"/>
        <v>0</v>
      </c>
      <c r="T64" s="415">
        <f t="shared" si="232"/>
        <v>0</v>
      </c>
      <c r="U64" s="415">
        <f t="shared" si="233"/>
        <v>0</v>
      </c>
      <c r="V64" s="415">
        <f t="shared" si="233"/>
        <v>0</v>
      </c>
      <c r="W64" s="415">
        <f t="shared" si="233"/>
        <v>0</v>
      </c>
      <c r="X64" s="415">
        <f t="shared" si="233"/>
        <v>0</v>
      </c>
      <c r="Y64" s="415">
        <f t="shared" si="233"/>
        <v>0</v>
      </c>
      <c r="Z64" s="415">
        <f t="shared" si="233"/>
        <v>0</v>
      </c>
      <c r="AA64" s="415">
        <f t="shared" si="233"/>
        <v>0</v>
      </c>
      <c r="AB64" s="415">
        <f t="shared" si="233"/>
        <v>0</v>
      </c>
      <c r="AC64" s="415">
        <f t="shared" si="233"/>
        <v>0</v>
      </c>
      <c r="AD64" s="415">
        <f t="shared" si="233"/>
        <v>0</v>
      </c>
      <c r="AE64" s="415">
        <f t="shared" si="233"/>
        <v>0</v>
      </c>
      <c r="AF64" s="416">
        <f t="shared" si="234"/>
        <v>0</v>
      </c>
      <c r="AG64" s="415">
        <f t="shared" si="235"/>
        <v>0</v>
      </c>
      <c r="AH64" s="415">
        <f t="shared" si="236"/>
        <v>0</v>
      </c>
      <c r="AI64" s="415">
        <f t="shared" si="236"/>
        <v>0</v>
      </c>
      <c r="AJ64" s="415">
        <f t="shared" si="236"/>
        <v>0</v>
      </c>
      <c r="AK64" s="415">
        <f t="shared" si="236"/>
        <v>0</v>
      </c>
      <c r="AL64" s="415">
        <f t="shared" si="236"/>
        <v>0</v>
      </c>
      <c r="AM64" s="415">
        <f t="shared" si="236"/>
        <v>10000</v>
      </c>
      <c r="AN64" s="415">
        <f t="shared" si="236"/>
        <v>10000</v>
      </c>
      <c r="AO64" s="415">
        <f t="shared" si="236"/>
        <v>10000</v>
      </c>
      <c r="AP64" s="415">
        <f t="shared" si="236"/>
        <v>10000</v>
      </c>
      <c r="AQ64" s="415">
        <f t="shared" si="236"/>
        <v>10000</v>
      </c>
      <c r="AR64" s="415">
        <f t="shared" si="236"/>
        <v>10000</v>
      </c>
      <c r="AS64" s="416">
        <f t="shared" si="237"/>
        <v>60000</v>
      </c>
      <c r="AT64" s="415">
        <f t="shared" si="238"/>
        <v>10400</v>
      </c>
      <c r="AU64" s="415">
        <f t="shared" si="239"/>
        <v>10400</v>
      </c>
      <c r="AV64" s="415">
        <f t="shared" si="239"/>
        <v>10400</v>
      </c>
      <c r="AW64" s="415">
        <f t="shared" si="239"/>
        <v>10400</v>
      </c>
      <c r="AX64" s="415">
        <f t="shared" si="239"/>
        <v>10400</v>
      </c>
      <c r="AY64" s="415">
        <f t="shared" si="239"/>
        <v>10400</v>
      </c>
      <c r="AZ64" s="415">
        <f t="shared" si="239"/>
        <v>10400</v>
      </c>
      <c r="BA64" s="415">
        <f t="shared" si="239"/>
        <v>10400</v>
      </c>
      <c r="BB64" s="415">
        <f t="shared" si="239"/>
        <v>10400</v>
      </c>
      <c r="BC64" s="415">
        <f t="shared" si="239"/>
        <v>10400</v>
      </c>
      <c r="BD64" s="415">
        <f t="shared" si="239"/>
        <v>10400</v>
      </c>
      <c r="BE64" s="415">
        <f t="shared" si="239"/>
        <v>10400</v>
      </c>
      <c r="BF64" s="416">
        <f t="shared" si="240"/>
        <v>124800</v>
      </c>
      <c r="BG64" s="415">
        <f t="shared" si="241"/>
        <v>10816</v>
      </c>
      <c r="BH64" s="415">
        <f t="shared" si="242"/>
        <v>10816</v>
      </c>
      <c r="BI64" s="415">
        <f t="shared" si="242"/>
        <v>10816</v>
      </c>
      <c r="BJ64" s="415">
        <f t="shared" si="242"/>
        <v>10816</v>
      </c>
      <c r="BK64" s="415">
        <f t="shared" si="242"/>
        <v>10816</v>
      </c>
      <c r="BL64" s="415">
        <f t="shared" si="242"/>
        <v>10816</v>
      </c>
      <c r="BM64" s="415">
        <f t="shared" si="242"/>
        <v>10816</v>
      </c>
      <c r="BN64" s="415">
        <f t="shared" si="242"/>
        <v>10816</v>
      </c>
      <c r="BO64" s="415">
        <f t="shared" si="242"/>
        <v>10816</v>
      </c>
      <c r="BP64" s="415">
        <f t="shared" si="242"/>
        <v>10816</v>
      </c>
      <c r="BQ64" s="415">
        <f t="shared" si="242"/>
        <v>10816</v>
      </c>
      <c r="BR64" s="415">
        <f t="shared" si="242"/>
        <v>10816</v>
      </c>
      <c r="BS64" s="416">
        <f t="shared" si="243"/>
        <v>129792</v>
      </c>
      <c r="BT64" s="415">
        <f t="shared" si="244"/>
        <v>11248.640000000001</v>
      </c>
      <c r="BU64" s="415">
        <f t="shared" si="245"/>
        <v>11248.640000000001</v>
      </c>
      <c r="BV64" s="415">
        <f t="shared" si="245"/>
        <v>11248.640000000001</v>
      </c>
      <c r="BW64" s="415">
        <f t="shared" si="245"/>
        <v>11248.640000000001</v>
      </c>
      <c r="BX64" s="415">
        <f t="shared" si="245"/>
        <v>11248.640000000001</v>
      </c>
      <c r="BY64" s="415">
        <f t="shared" si="245"/>
        <v>11248.640000000001</v>
      </c>
      <c r="BZ64" s="415">
        <f t="shared" si="245"/>
        <v>11248.640000000001</v>
      </c>
      <c r="CA64" s="415">
        <f t="shared" si="245"/>
        <v>11248.640000000001</v>
      </c>
      <c r="CB64" s="415">
        <f t="shared" si="245"/>
        <v>11248.640000000001</v>
      </c>
      <c r="CC64" s="415">
        <f t="shared" si="245"/>
        <v>11248.640000000001</v>
      </c>
      <c r="CD64" s="415">
        <f t="shared" si="245"/>
        <v>11248.640000000001</v>
      </c>
      <c r="CE64" s="415">
        <f t="shared" si="245"/>
        <v>11248.640000000001</v>
      </c>
      <c r="CF64" s="416">
        <f t="shared" si="246"/>
        <v>134983.68000000002</v>
      </c>
    </row>
    <row r="65" spans="1:84">
      <c r="A65" s="399"/>
      <c r="B65" s="426" t="s">
        <v>137</v>
      </c>
      <c r="C65" s="420" t="s">
        <v>631</v>
      </c>
      <c r="D65" s="423">
        <v>120000</v>
      </c>
      <c r="E65" s="427"/>
      <c r="F65" s="414" t="s">
        <v>319</v>
      </c>
      <c r="G65" s="415">
        <f t="shared" si="105"/>
        <v>0</v>
      </c>
      <c r="H65" s="415">
        <f t="shared" si="4"/>
        <v>0</v>
      </c>
      <c r="I65" s="415">
        <f t="shared" si="4"/>
        <v>0</v>
      </c>
      <c r="J65" s="415">
        <f t="shared" si="4"/>
        <v>0</v>
      </c>
      <c r="K65" s="415">
        <f t="shared" si="4"/>
        <v>0</v>
      </c>
      <c r="L65" s="415">
        <f t="shared" si="4"/>
        <v>0</v>
      </c>
      <c r="M65" s="415">
        <f t="shared" si="4"/>
        <v>0</v>
      </c>
      <c r="N65" s="415">
        <f t="shared" si="4"/>
        <v>0</v>
      </c>
      <c r="O65" s="415">
        <f t="shared" si="4"/>
        <v>0</v>
      </c>
      <c r="P65" s="415">
        <f t="shared" si="4"/>
        <v>0</v>
      </c>
      <c r="Q65" s="415">
        <f t="shared" si="4"/>
        <v>0</v>
      </c>
      <c r="R65" s="415">
        <f t="shared" si="4"/>
        <v>0</v>
      </c>
      <c r="S65" s="416">
        <f t="shared" si="5"/>
        <v>0</v>
      </c>
      <c r="T65" s="415">
        <f t="shared" si="232"/>
        <v>0</v>
      </c>
      <c r="U65" s="415">
        <f t="shared" si="233"/>
        <v>0</v>
      </c>
      <c r="V65" s="415">
        <f t="shared" si="233"/>
        <v>0</v>
      </c>
      <c r="W65" s="415">
        <f t="shared" si="233"/>
        <v>0</v>
      </c>
      <c r="X65" s="415">
        <f t="shared" si="233"/>
        <v>0</v>
      </c>
      <c r="Y65" s="415">
        <f t="shared" si="233"/>
        <v>0</v>
      </c>
      <c r="Z65" s="415">
        <f t="shared" si="233"/>
        <v>0</v>
      </c>
      <c r="AA65" s="415">
        <f t="shared" si="233"/>
        <v>0</v>
      </c>
      <c r="AB65" s="415">
        <f t="shared" si="233"/>
        <v>0</v>
      </c>
      <c r="AC65" s="415">
        <f t="shared" si="233"/>
        <v>0</v>
      </c>
      <c r="AD65" s="415">
        <f t="shared" si="233"/>
        <v>0</v>
      </c>
      <c r="AE65" s="415">
        <f t="shared" si="233"/>
        <v>0</v>
      </c>
      <c r="AF65" s="416">
        <f t="shared" si="234"/>
        <v>0</v>
      </c>
      <c r="AG65" s="415">
        <f t="shared" si="235"/>
        <v>0</v>
      </c>
      <c r="AH65" s="415">
        <f t="shared" si="236"/>
        <v>0</v>
      </c>
      <c r="AI65" s="415">
        <f t="shared" si="236"/>
        <v>0</v>
      </c>
      <c r="AJ65" s="415">
        <f t="shared" si="236"/>
        <v>0</v>
      </c>
      <c r="AK65" s="415">
        <f t="shared" si="236"/>
        <v>0</v>
      </c>
      <c r="AL65" s="415">
        <f t="shared" si="236"/>
        <v>0</v>
      </c>
      <c r="AM65" s="415">
        <f t="shared" si="236"/>
        <v>0</v>
      </c>
      <c r="AN65" s="415">
        <f t="shared" si="236"/>
        <v>0</v>
      </c>
      <c r="AO65" s="415">
        <f t="shared" si="236"/>
        <v>0</v>
      </c>
      <c r="AP65" s="415">
        <f t="shared" si="236"/>
        <v>0</v>
      </c>
      <c r="AQ65" s="415">
        <f t="shared" si="236"/>
        <v>0</v>
      </c>
      <c r="AR65" s="415">
        <f t="shared" si="236"/>
        <v>0</v>
      </c>
      <c r="AS65" s="416">
        <f t="shared" si="237"/>
        <v>0</v>
      </c>
      <c r="AT65" s="415">
        <f t="shared" si="238"/>
        <v>10000</v>
      </c>
      <c r="AU65" s="415">
        <f t="shared" si="239"/>
        <v>10000</v>
      </c>
      <c r="AV65" s="415">
        <f t="shared" si="239"/>
        <v>10000</v>
      </c>
      <c r="AW65" s="415">
        <f t="shared" si="239"/>
        <v>10000</v>
      </c>
      <c r="AX65" s="415">
        <f t="shared" si="239"/>
        <v>10000</v>
      </c>
      <c r="AY65" s="415">
        <f t="shared" si="239"/>
        <v>10000</v>
      </c>
      <c r="AZ65" s="415">
        <f t="shared" si="239"/>
        <v>10000</v>
      </c>
      <c r="BA65" s="415">
        <f t="shared" si="239"/>
        <v>10000</v>
      </c>
      <c r="BB65" s="415">
        <f t="shared" si="239"/>
        <v>10000</v>
      </c>
      <c r="BC65" s="415">
        <f t="shared" si="239"/>
        <v>10000</v>
      </c>
      <c r="BD65" s="415">
        <f t="shared" si="239"/>
        <v>10000</v>
      </c>
      <c r="BE65" s="415">
        <f t="shared" si="239"/>
        <v>10000</v>
      </c>
      <c r="BF65" s="416">
        <f t="shared" si="240"/>
        <v>120000</v>
      </c>
      <c r="BG65" s="415">
        <f t="shared" si="241"/>
        <v>10400</v>
      </c>
      <c r="BH65" s="415">
        <f t="shared" si="242"/>
        <v>10400</v>
      </c>
      <c r="BI65" s="415">
        <f t="shared" si="242"/>
        <v>10400</v>
      </c>
      <c r="BJ65" s="415">
        <f t="shared" si="242"/>
        <v>10400</v>
      </c>
      <c r="BK65" s="415">
        <f t="shared" si="242"/>
        <v>10400</v>
      </c>
      <c r="BL65" s="415">
        <f t="shared" si="242"/>
        <v>10400</v>
      </c>
      <c r="BM65" s="415">
        <f t="shared" si="242"/>
        <v>10400</v>
      </c>
      <c r="BN65" s="415">
        <f t="shared" si="242"/>
        <v>10400</v>
      </c>
      <c r="BO65" s="415">
        <f t="shared" si="242"/>
        <v>10400</v>
      </c>
      <c r="BP65" s="415">
        <f t="shared" si="242"/>
        <v>10400</v>
      </c>
      <c r="BQ65" s="415">
        <f t="shared" si="242"/>
        <v>10400</v>
      </c>
      <c r="BR65" s="415">
        <f t="shared" si="242"/>
        <v>10400</v>
      </c>
      <c r="BS65" s="416">
        <f t="shared" si="243"/>
        <v>124800</v>
      </c>
      <c r="BT65" s="415">
        <f t="shared" si="244"/>
        <v>10816</v>
      </c>
      <c r="BU65" s="415">
        <f t="shared" si="245"/>
        <v>10816</v>
      </c>
      <c r="BV65" s="415">
        <f t="shared" si="245"/>
        <v>10816</v>
      </c>
      <c r="BW65" s="415">
        <f t="shared" si="245"/>
        <v>10816</v>
      </c>
      <c r="BX65" s="415">
        <f t="shared" si="245"/>
        <v>10816</v>
      </c>
      <c r="BY65" s="415">
        <f t="shared" si="245"/>
        <v>10816</v>
      </c>
      <c r="BZ65" s="415">
        <f t="shared" si="245"/>
        <v>10816</v>
      </c>
      <c r="CA65" s="415">
        <f t="shared" si="245"/>
        <v>10816</v>
      </c>
      <c r="CB65" s="415">
        <f t="shared" si="245"/>
        <v>10816</v>
      </c>
      <c r="CC65" s="415">
        <f t="shared" si="245"/>
        <v>10816</v>
      </c>
      <c r="CD65" s="415">
        <f t="shared" si="245"/>
        <v>10816</v>
      </c>
      <c r="CE65" s="415">
        <f t="shared" si="245"/>
        <v>10816</v>
      </c>
      <c r="CF65" s="416">
        <f t="shared" si="246"/>
        <v>129792</v>
      </c>
    </row>
    <row r="66" spans="1:84">
      <c r="A66" s="399"/>
      <c r="B66" s="426" t="s">
        <v>137</v>
      </c>
      <c r="C66" s="420" t="s">
        <v>632</v>
      </c>
      <c r="D66" s="423">
        <v>100000</v>
      </c>
      <c r="E66" s="427"/>
      <c r="F66" s="414" t="s">
        <v>319</v>
      </c>
      <c r="G66" s="415">
        <f t="shared" si="105"/>
        <v>0</v>
      </c>
      <c r="H66" s="415">
        <f t="shared" si="4"/>
        <v>0</v>
      </c>
      <c r="I66" s="415">
        <f t="shared" si="4"/>
        <v>0</v>
      </c>
      <c r="J66" s="415">
        <f t="shared" si="4"/>
        <v>0</v>
      </c>
      <c r="K66" s="415">
        <f t="shared" si="4"/>
        <v>0</v>
      </c>
      <c r="L66" s="415">
        <f t="shared" si="4"/>
        <v>0</v>
      </c>
      <c r="M66" s="415">
        <f t="shared" si="4"/>
        <v>0</v>
      </c>
      <c r="N66" s="415">
        <f t="shared" si="4"/>
        <v>0</v>
      </c>
      <c r="O66" s="415">
        <f t="shared" si="4"/>
        <v>0</v>
      </c>
      <c r="P66" s="415">
        <f t="shared" si="4"/>
        <v>0</v>
      </c>
      <c r="Q66" s="415">
        <f t="shared" si="4"/>
        <v>0</v>
      </c>
      <c r="R66" s="415">
        <f t="shared" si="4"/>
        <v>0</v>
      </c>
      <c r="S66" s="416">
        <f t="shared" si="5"/>
        <v>0</v>
      </c>
      <c r="T66" s="415">
        <f t="shared" si="232"/>
        <v>0</v>
      </c>
      <c r="U66" s="415">
        <f t="shared" si="233"/>
        <v>0</v>
      </c>
      <c r="V66" s="415">
        <f t="shared" si="233"/>
        <v>0</v>
      </c>
      <c r="W66" s="415">
        <f t="shared" si="233"/>
        <v>0</v>
      </c>
      <c r="X66" s="415">
        <f t="shared" si="233"/>
        <v>0</v>
      </c>
      <c r="Y66" s="415">
        <f t="shared" si="233"/>
        <v>0</v>
      </c>
      <c r="Z66" s="415">
        <f t="shared" si="233"/>
        <v>0</v>
      </c>
      <c r="AA66" s="415">
        <f t="shared" si="233"/>
        <v>0</v>
      </c>
      <c r="AB66" s="415">
        <f t="shared" si="233"/>
        <v>0</v>
      </c>
      <c r="AC66" s="415">
        <f t="shared" si="233"/>
        <v>0</v>
      </c>
      <c r="AD66" s="415">
        <f t="shared" si="233"/>
        <v>0</v>
      </c>
      <c r="AE66" s="415">
        <f t="shared" si="233"/>
        <v>0</v>
      </c>
      <c r="AF66" s="416">
        <f t="shared" si="234"/>
        <v>0</v>
      </c>
      <c r="AG66" s="415">
        <f t="shared" si="235"/>
        <v>0</v>
      </c>
      <c r="AH66" s="415">
        <f t="shared" si="236"/>
        <v>0</v>
      </c>
      <c r="AI66" s="415">
        <f t="shared" si="236"/>
        <v>0</v>
      </c>
      <c r="AJ66" s="415">
        <f t="shared" si="236"/>
        <v>0</v>
      </c>
      <c r="AK66" s="415">
        <f t="shared" si="236"/>
        <v>0</v>
      </c>
      <c r="AL66" s="415">
        <f t="shared" si="236"/>
        <v>0</v>
      </c>
      <c r="AM66" s="415">
        <f t="shared" si="236"/>
        <v>0</v>
      </c>
      <c r="AN66" s="415">
        <f t="shared" si="236"/>
        <v>0</v>
      </c>
      <c r="AO66" s="415">
        <f t="shared" si="236"/>
        <v>0</v>
      </c>
      <c r="AP66" s="415">
        <f t="shared" si="236"/>
        <v>0</v>
      </c>
      <c r="AQ66" s="415">
        <f t="shared" si="236"/>
        <v>0</v>
      </c>
      <c r="AR66" s="415">
        <f t="shared" si="236"/>
        <v>0</v>
      </c>
      <c r="AS66" s="416">
        <f t="shared" si="237"/>
        <v>0</v>
      </c>
      <c r="AT66" s="415">
        <f t="shared" si="238"/>
        <v>8333.3333333333339</v>
      </c>
      <c r="AU66" s="415">
        <f t="shared" si="239"/>
        <v>8333.3333333333339</v>
      </c>
      <c r="AV66" s="415">
        <f t="shared" si="239"/>
        <v>8333.3333333333339</v>
      </c>
      <c r="AW66" s="415">
        <f t="shared" si="239"/>
        <v>8333.3333333333339</v>
      </c>
      <c r="AX66" s="415">
        <f t="shared" si="239"/>
        <v>8333.3333333333339</v>
      </c>
      <c r="AY66" s="415">
        <f t="shared" si="239"/>
        <v>8333.3333333333339</v>
      </c>
      <c r="AZ66" s="415">
        <f t="shared" si="239"/>
        <v>8333.3333333333339</v>
      </c>
      <c r="BA66" s="415">
        <f t="shared" si="239"/>
        <v>8333.3333333333339</v>
      </c>
      <c r="BB66" s="415">
        <f t="shared" si="239"/>
        <v>8333.3333333333339</v>
      </c>
      <c r="BC66" s="415">
        <f t="shared" si="239"/>
        <v>8333.3333333333339</v>
      </c>
      <c r="BD66" s="415">
        <f t="shared" si="239"/>
        <v>8333.3333333333339</v>
      </c>
      <c r="BE66" s="415">
        <f t="shared" si="239"/>
        <v>8333.3333333333339</v>
      </c>
      <c r="BF66" s="416">
        <f t="shared" si="240"/>
        <v>99999.999999999985</v>
      </c>
      <c r="BG66" s="415">
        <f t="shared" si="241"/>
        <v>8666.6666666666679</v>
      </c>
      <c r="BH66" s="415">
        <f t="shared" si="242"/>
        <v>8666.6666666666679</v>
      </c>
      <c r="BI66" s="415">
        <f t="shared" si="242"/>
        <v>8666.6666666666679</v>
      </c>
      <c r="BJ66" s="415">
        <f t="shared" si="242"/>
        <v>8666.6666666666679</v>
      </c>
      <c r="BK66" s="415">
        <f t="shared" si="242"/>
        <v>8666.6666666666679</v>
      </c>
      <c r="BL66" s="415">
        <f t="shared" si="242"/>
        <v>8666.6666666666679</v>
      </c>
      <c r="BM66" s="415">
        <f t="shared" si="242"/>
        <v>8666.6666666666679</v>
      </c>
      <c r="BN66" s="415">
        <f t="shared" si="242"/>
        <v>8666.6666666666679</v>
      </c>
      <c r="BO66" s="415">
        <f t="shared" si="242"/>
        <v>8666.6666666666679</v>
      </c>
      <c r="BP66" s="415">
        <f t="shared" si="242"/>
        <v>8666.6666666666679</v>
      </c>
      <c r="BQ66" s="415">
        <f t="shared" si="242"/>
        <v>8666.6666666666679</v>
      </c>
      <c r="BR66" s="415">
        <f t="shared" si="242"/>
        <v>8666.6666666666679</v>
      </c>
      <c r="BS66" s="416">
        <f t="shared" si="243"/>
        <v>104000.00000000004</v>
      </c>
      <c r="BT66" s="415">
        <f t="shared" si="244"/>
        <v>9013.3333333333358</v>
      </c>
      <c r="BU66" s="415">
        <f t="shared" si="245"/>
        <v>9013.3333333333358</v>
      </c>
      <c r="BV66" s="415">
        <f t="shared" si="245"/>
        <v>9013.3333333333358</v>
      </c>
      <c r="BW66" s="415">
        <f t="shared" si="245"/>
        <v>9013.3333333333358</v>
      </c>
      <c r="BX66" s="415">
        <f t="shared" si="245"/>
        <v>9013.3333333333358</v>
      </c>
      <c r="BY66" s="415">
        <f t="shared" si="245"/>
        <v>9013.3333333333358</v>
      </c>
      <c r="BZ66" s="415">
        <f t="shared" si="245"/>
        <v>9013.3333333333358</v>
      </c>
      <c r="CA66" s="415">
        <f t="shared" si="245"/>
        <v>9013.3333333333358</v>
      </c>
      <c r="CB66" s="415">
        <f t="shared" si="245"/>
        <v>9013.3333333333358</v>
      </c>
      <c r="CC66" s="415">
        <f t="shared" si="245"/>
        <v>9013.3333333333358</v>
      </c>
      <c r="CD66" s="415">
        <f t="shared" si="245"/>
        <v>9013.3333333333358</v>
      </c>
      <c r="CE66" s="415">
        <f t="shared" si="245"/>
        <v>9013.3333333333358</v>
      </c>
      <c r="CF66" s="416">
        <f t="shared" si="246"/>
        <v>108160.00000000006</v>
      </c>
    </row>
    <row r="67" spans="1:84">
      <c r="A67" s="399"/>
      <c r="B67" s="426" t="s">
        <v>137</v>
      </c>
      <c r="C67" s="420" t="s">
        <v>632</v>
      </c>
      <c r="D67" s="423">
        <v>100000</v>
      </c>
      <c r="E67" s="427"/>
      <c r="F67" s="414" t="s">
        <v>313</v>
      </c>
      <c r="G67" s="415">
        <f t="shared" si="105"/>
        <v>0</v>
      </c>
      <c r="H67" s="415">
        <f t="shared" si="4"/>
        <v>0</v>
      </c>
      <c r="I67" s="415">
        <f t="shared" si="4"/>
        <v>0</v>
      </c>
      <c r="J67" s="415">
        <f t="shared" si="4"/>
        <v>0</v>
      </c>
      <c r="K67" s="415">
        <f t="shared" si="4"/>
        <v>0</v>
      </c>
      <c r="L67" s="415">
        <f t="shared" si="4"/>
        <v>0</v>
      </c>
      <c r="M67" s="415">
        <f t="shared" si="4"/>
        <v>0</v>
      </c>
      <c r="N67" s="415">
        <f t="shared" si="4"/>
        <v>0</v>
      </c>
      <c r="O67" s="415">
        <f t="shared" si="4"/>
        <v>0</v>
      </c>
      <c r="P67" s="415">
        <f t="shared" si="4"/>
        <v>0</v>
      </c>
      <c r="Q67" s="415">
        <f t="shared" si="4"/>
        <v>0</v>
      </c>
      <c r="R67" s="415">
        <f t="shared" si="4"/>
        <v>0</v>
      </c>
      <c r="S67" s="416">
        <f t="shared" si="5"/>
        <v>0</v>
      </c>
      <c r="T67" s="415">
        <f t="shared" si="232"/>
        <v>0</v>
      </c>
      <c r="U67" s="415">
        <f t="shared" si="233"/>
        <v>0</v>
      </c>
      <c r="V67" s="415">
        <f t="shared" si="233"/>
        <v>0</v>
      </c>
      <c r="W67" s="415">
        <f t="shared" si="233"/>
        <v>0</v>
      </c>
      <c r="X67" s="415">
        <f t="shared" si="233"/>
        <v>0</v>
      </c>
      <c r="Y67" s="415">
        <f t="shared" si="233"/>
        <v>0</v>
      </c>
      <c r="Z67" s="415">
        <f t="shared" si="233"/>
        <v>0</v>
      </c>
      <c r="AA67" s="415">
        <f t="shared" si="233"/>
        <v>0</v>
      </c>
      <c r="AB67" s="415">
        <f t="shared" si="233"/>
        <v>0</v>
      </c>
      <c r="AC67" s="415">
        <f t="shared" si="233"/>
        <v>0</v>
      </c>
      <c r="AD67" s="415">
        <f t="shared" si="233"/>
        <v>0</v>
      </c>
      <c r="AE67" s="415">
        <f t="shared" si="233"/>
        <v>0</v>
      </c>
      <c r="AF67" s="416">
        <f t="shared" si="234"/>
        <v>0</v>
      </c>
      <c r="AG67" s="415">
        <f t="shared" si="235"/>
        <v>0</v>
      </c>
      <c r="AH67" s="415">
        <f t="shared" si="236"/>
        <v>0</v>
      </c>
      <c r="AI67" s="415">
        <f t="shared" si="236"/>
        <v>0</v>
      </c>
      <c r="AJ67" s="415">
        <f t="shared" si="236"/>
        <v>0</v>
      </c>
      <c r="AK67" s="415">
        <f t="shared" si="236"/>
        <v>0</v>
      </c>
      <c r="AL67" s="415">
        <f t="shared" si="236"/>
        <v>0</v>
      </c>
      <c r="AM67" s="415">
        <f t="shared" si="236"/>
        <v>8333.3333333333339</v>
      </c>
      <c r="AN67" s="415">
        <f t="shared" si="236"/>
        <v>8333.3333333333339</v>
      </c>
      <c r="AO67" s="415">
        <f t="shared" si="236"/>
        <v>8333.3333333333339</v>
      </c>
      <c r="AP67" s="415">
        <f t="shared" si="236"/>
        <v>8333.3333333333339</v>
      </c>
      <c r="AQ67" s="415">
        <f t="shared" si="236"/>
        <v>8333.3333333333339</v>
      </c>
      <c r="AR67" s="415">
        <f t="shared" si="236"/>
        <v>8333.3333333333339</v>
      </c>
      <c r="AS67" s="416">
        <f t="shared" si="237"/>
        <v>50000.000000000007</v>
      </c>
      <c r="AT67" s="415">
        <f t="shared" si="238"/>
        <v>8666.6666666666679</v>
      </c>
      <c r="AU67" s="415">
        <f t="shared" si="239"/>
        <v>8666.6666666666679</v>
      </c>
      <c r="AV67" s="415">
        <f t="shared" si="239"/>
        <v>8666.6666666666679</v>
      </c>
      <c r="AW67" s="415">
        <f t="shared" si="239"/>
        <v>8666.6666666666679</v>
      </c>
      <c r="AX67" s="415">
        <f t="shared" si="239"/>
        <v>8666.6666666666679</v>
      </c>
      <c r="AY67" s="415">
        <f t="shared" si="239"/>
        <v>8666.6666666666679</v>
      </c>
      <c r="AZ67" s="415">
        <f t="shared" si="239"/>
        <v>8666.6666666666679</v>
      </c>
      <c r="BA67" s="415">
        <f t="shared" si="239"/>
        <v>8666.6666666666679</v>
      </c>
      <c r="BB67" s="415">
        <f t="shared" si="239"/>
        <v>8666.6666666666679</v>
      </c>
      <c r="BC67" s="415">
        <f t="shared" si="239"/>
        <v>8666.6666666666679</v>
      </c>
      <c r="BD67" s="415">
        <f t="shared" si="239"/>
        <v>8666.6666666666679</v>
      </c>
      <c r="BE67" s="415">
        <f t="shared" si="239"/>
        <v>8666.6666666666679</v>
      </c>
      <c r="BF67" s="416">
        <f t="shared" si="240"/>
        <v>104000.00000000004</v>
      </c>
      <c r="BG67" s="415">
        <f t="shared" si="241"/>
        <v>9013.3333333333358</v>
      </c>
      <c r="BH67" s="415">
        <f t="shared" si="242"/>
        <v>9013.3333333333358</v>
      </c>
      <c r="BI67" s="415">
        <f t="shared" si="242"/>
        <v>9013.3333333333358</v>
      </c>
      <c r="BJ67" s="415">
        <f t="shared" si="242"/>
        <v>9013.3333333333358</v>
      </c>
      <c r="BK67" s="415">
        <f t="shared" si="242"/>
        <v>9013.3333333333358</v>
      </c>
      <c r="BL67" s="415">
        <f t="shared" si="242"/>
        <v>9013.3333333333358</v>
      </c>
      <c r="BM67" s="415">
        <f t="shared" si="242"/>
        <v>9013.3333333333358</v>
      </c>
      <c r="BN67" s="415">
        <f t="shared" si="242"/>
        <v>9013.3333333333358</v>
      </c>
      <c r="BO67" s="415">
        <f t="shared" si="242"/>
        <v>9013.3333333333358</v>
      </c>
      <c r="BP67" s="415">
        <f t="shared" si="242"/>
        <v>9013.3333333333358</v>
      </c>
      <c r="BQ67" s="415">
        <f t="shared" si="242"/>
        <v>9013.3333333333358</v>
      </c>
      <c r="BR67" s="415">
        <f t="shared" si="242"/>
        <v>9013.3333333333358</v>
      </c>
      <c r="BS67" s="416">
        <f t="shared" si="243"/>
        <v>108160.00000000006</v>
      </c>
      <c r="BT67" s="415">
        <f t="shared" si="244"/>
        <v>9373.8666666666686</v>
      </c>
      <c r="BU67" s="415">
        <f t="shared" si="245"/>
        <v>9373.8666666666686</v>
      </c>
      <c r="BV67" s="415">
        <f t="shared" si="245"/>
        <v>9373.8666666666686</v>
      </c>
      <c r="BW67" s="415">
        <f t="shared" si="245"/>
        <v>9373.8666666666686</v>
      </c>
      <c r="BX67" s="415">
        <f t="shared" si="245"/>
        <v>9373.8666666666686</v>
      </c>
      <c r="BY67" s="415">
        <f t="shared" si="245"/>
        <v>9373.8666666666686</v>
      </c>
      <c r="BZ67" s="415">
        <f t="shared" si="245"/>
        <v>9373.8666666666686</v>
      </c>
      <c r="CA67" s="415">
        <f t="shared" si="245"/>
        <v>9373.8666666666686</v>
      </c>
      <c r="CB67" s="415">
        <f t="shared" si="245"/>
        <v>9373.8666666666686</v>
      </c>
      <c r="CC67" s="415">
        <f t="shared" si="245"/>
        <v>9373.8666666666686</v>
      </c>
      <c r="CD67" s="415">
        <f t="shared" si="245"/>
        <v>9373.8666666666686</v>
      </c>
      <c r="CE67" s="415">
        <f t="shared" si="245"/>
        <v>9373.8666666666686</v>
      </c>
      <c r="CF67" s="416">
        <f t="shared" si="246"/>
        <v>112486.40000000002</v>
      </c>
    </row>
    <row r="68" spans="1:84">
      <c r="A68" s="399"/>
      <c r="B68" s="426" t="s">
        <v>137</v>
      </c>
      <c r="C68" s="420" t="s">
        <v>632</v>
      </c>
      <c r="D68" s="423">
        <v>100000</v>
      </c>
      <c r="E68" s="427"/>
      <c r="F68" s="414" t="s">
        <v>319</v>
      </c>
      <c r="G68" s="415">
        <f t="shared" si="105"/>
        <v>0</v>
      </c>
      <c r="H68" s="415">
        <f t="shared" si="4"/>
        <v>0</v>
      </c>
      <c r="I68" s="415">
        <f t="shared" si="4"/>
        <v>0</v>
      </c>
      <c r="J68" s="415">
        <f t="shared" si="4"/>
        <v>0</v>
      </c>
      <c r="K68" s="415">
        <f t="shared" si="4"/>
        <v>0</v>
      </c>
      <c r="L68" s="415">
        <f t="shared" si="4"/>
        <v>0</v>
      </c>
      <c r="M68" s="415">
        <f t="shared" si="4"/>
        <v>0</v>
      </c>
      <c r="N68" s="415">
        <f t="shared" si="4"/>
        <v>0</v>
      </c>
      <c r="O68" s="415">
        <f t="shared" si="4"/>
        <v>0</v>
      </c>
      <c r="P68" s="415">
        <f t="shared" si="4"/>
        <v>0</v>
      </c>
      <c r="Q68" s="415">
        <f t="shared" si="4"/>
        <v>0</v>
      </c>
      <c r="R68" s="415">
        <f t="shared" si="4"/>
        <v>0</v>
      </c>
      <c r="S68" s="416">
        <f t="shared" si="5"/>
        <v>0</v>
      </c>
      <c r="T68" s="415">
        <f t="shared" si="232"/>
        <v>0</v>
      </c>
      <c r="U68" s="415">
        <f t="shared" si="233"/>
        <v>0</v>
      </c>
      <c r="V68" s="415">
        <f t="shared" si="233"/>
        <v>0</v>
      </c>
      <c r="W68" s="415">
        <f t="shared" si="233"/>
        <v>0</v>
      </c>
      <c r="X68" s="415">
        <f t="shared" si="233"/>
        <v>0</v>
      </c>
      <c r="Y68" s="415">
        <f t="shared" si="233"/>
        <v>0</v>
      </c>
      <c r="Z68" s="415">
        <f t="shared" si="233"/>
        <v>0</v>
      </c>
      <c r="AA68" s="415">
        <f t="shared" si="233"/>
        <v>0</v>
      </c>
      <c r="AB68" s="415">
        <f t="shared" si="233"/>
        <v>0</v>
      </c>
      <c r="AC68" s="415">
        <f t="shared" si="233"/>
        <v>0</v>
      </c>
      <c r="AD68" s="415">
        <f t="shared" si="233"/>
        <v>0</v>
      </c>
      <c r="AE68" s="415">
        <f t="shared" si="233"/>
        <v>0</v>
      </c>
      <c r="AF68" s="416">
        <f t="shared" si="234"/>
        <v>0</v>
      </c>
      <c r="AG68" s="415">
        <f t="shared" si="235"/>
        <v>0</v>
      </c>
      <c r="AH68" s="415">
        <f t="shared" si="236"/>
        <v>0</v>
      </c>
      <c r="AI68" s="415">
        <f t="shared" si="236"/>
        <v>0</v>
      </c>
      <c r="AJ68" s="415">
        <f t="shared" si="236"/>
        <v>0</v>
      </c>
      <c r="AK68" s="415">
        <f t="shared" si="236"/>
        <v>0</v>
      </c>
      <c r="AL68" s="415">
        <f t="shared" si="236"/>
        <v>0</v>
      </c>
      <c r="AM68" s="415">
        <f t="shared" si="236"/>
        <v>0</v>
      </c>
      <c r="AN68" s="415">
        <f t="shared" si="236"/>
        <v>0</v>
      </c>
      <c r="AO68" s="415">
        <f t="shared" si="236"/>
        <v>0</v>
      </c>
      <c r="AP68" s="415">
        <f t="shared" si="236"/>
        <v>0</v>
      </c>
      <c r="AQ68" s="415">
        <f t="shared" si="236"/>
        <v>0</v>
      </c>
      <c r="AR68" s="415">
        <f t="shared" si="236"/>
        <v>0</v>
      </c>
      <c r="AS68" s="416">
        <f t="shared" si="237"/>
        <v>0</v>
      </c>
      <c r="AT68" s="415">
        <f t="shared" si="238"/>
        <v>8333.3333333333339</v>
      </c>
      <c r="AU68" s="415">
        <f t="shared" si="239"/>
        <v>8333.3333333333339</v>
      </c>
      <c r="AV68" s="415">
        <f t="shared" si="239"/>
        <v>8333.3333333333339</v>
      </c>
      <c r="AW68" s="415">
        <f t="shared" si="239"/>
        <v>8333.3333333333339</v>
      </c>
      <c r="AX68" s="415">
        <f t="shared" si="239"/>
        <v>8333.3333333333339</v>
      </c>
      <c r="AY68" s="415">
        <f t="shared" si="239"/>
        <v>8333.3333333333339</v>
      </c>
      <c r="AZ68" s="415">
        <f t="shared" si="239"/>
        <v>8333.3333333333339</v>
      </c>
      <c r="BA68" s="415">
        <f t="shared" si="239"/>
        <v>8333.3333333333339</v>
      </c>
      <c r="BB68" s="415">
        <f t="shared" si="239"/>
        <v>8333.3333333333339</v>
      </c>
      <c r="BC68" s="415">
        <f t="shared" si="239"/>
        <v>8333.3333333333339</v>
      </c>
      <c r="BD68" s="415">
        <f t="shared" si="239"/>
        <v>8333.3333333333339</v>
      </c>
      <c r="BE68" s="415">
        <f t="shared" si="239"/>
        <v>8333.3333333333339</v>
      </c>
      <c r="BF68" s="416">
        <f t="shared" si="240"/>
        <v>99999.999999999985</v>
      </c>
      <c r="BG68" s="415">
        <f t="shared" si="241"/>
        <v>8666.6666666666679</v>
      </c>
      <c r="BH68" s="415">
        <f t="shared" si="242"/>
        <v>8666.6666666666679</v>
      </c>
      <c r="BI68" s="415">
        <f t="shared" si="242"/>
        <v>8666.6666666666679</v>
      </c>
      <c r="BJ68" s="415">
        <f t="shared" si="242"/>
        <v>8666.6666666666679</v>
      </c>
      <c r="BK68" s="415">
        <f t="shared" si="242"/>
        <v>8666.6666666666679</v>
      </c>
      <c r="BL68" s="415">
        <f t="shared" si="242"/>
        <v>8666.6666666666679</v>
      </c>
      <c r="BM68" s="415">
        <f t="shared" si="242"/>
        <v>8666.6666666666679</v>
      </c>
      <c r="BN68" s="415">
        <f t="shared" si="242"/>
        <v>8666.6666666666679</v>
      </c>
      <c r="BO68" s="415">
        <f t="shared" si="242"/>
        <v>8666.6666666666679</v>
      </c>
      <c r="BP68" s="415">
        <f t="shared" si="242"/>
        <v>8666.6666666666679</v>
      </c>
      <c r="BQ68" s="415">
        <f t="shared" si="242"/>
        <v>8666.6666666666679</v>
      </c>
      <c r="BR68" s="415">
        <f t="shared" si="242"/>
        <v>8666.6666666666679</v>
      </c>
      <c r="BS68" s="416">
        <f t="shared" si="243"/>
        <v>104000.00000000004</v>
      </c>
      <c r="BT68" s="415">
        <f t="shared" si="244"/>
        <v>9013.3333333333358</v>
      </c>
      <c r="BU68" s="415">
        <f t="shared" si="245"/>
        <v>9013.3333333333358</v>
      </c>
      <c r="BV68" s="415">
        <f t="shared" si="245"/>
        <v>9013.3333333333358</v>
      </c>
      <c r="BW68" s="415">
        <f t="shared" si="245"/>
        <v>9013.3333333333358</v>
      </c>
      <c r="BX68" s="415">
        <f t="shared" si="245"/>
        <v>9013.3333333333358</v>
      </c>
      <c r="BY68" s="415">
        <f t="shared" si="245"/>
        <v>9013.3333333333358</v>
      </c>
      <c r="BZ68" s="415">
        <f t="shared" si="245"/>
        <v>9013.3333333333358</v>
      </c>
      <c r="CA68" s="415">
        <f t="shared" si="245"/>
        <v>9013.3333333333358</v>
      </c>
      <c r="CB68" s="415">
        <f t="shared" si="245"/>
        <v>9013.3333333333358</v>
      </c>
      <c r="CC68" s="415">
        <f t="shared" si="245"/>
        <v>9013.3333333333358</v>
      </c>
      <c r="CD68" s="415">
        <f t="shared" si="245"/>
        <v>9013.3333333333358</v>
      </c>
      <c r="CE68" s="415">
        <f t="shared" si="245"/>
        <v>9013.3333333333358</v>
      </c>
      <c r="CF68" s="416">
        <f t="shared" si="246"/>
        <v>108160.00000000006</v>
      </c>
    </row>
    <row r="69" spans="1:84">
      <c r="A69" s="399"/>
      <c r="B69" s="426" t="s">
        <v>137</v>
      </c>
      <c r="C69" s="534" t="s">
        <v>785</v>
      </c>
      <c r="D69" s="423">
        <v>60000</v>
      </c>
      <c r="E69" s="427"/>
      <c r="F69" s="414" t="s">
        <v>313</v>
      </c>
      <c r="G69" s="415">
        <f t="shared" si="105"/>
        <v>0</v>
      </c>
      <c r="H69" s="415">
        <f t="shared" si="4"/>
        <v>0</v>
      </c>
      <c r="I69" s="415">
        <f t="shared" si="4"/>
        <v>0</v>
      </c>
      <c r="J69" s="415">
        <f t="shared" ref="J69:R71" si="247">I69</f>
        <v>0</v>
      </c>
      <c r="K69" s="415">
        <f t="shared" si="247"/>
        <v>0</v>
      </c>
      <c r="L69" s="415">
        <f t="shared" si="247"/>
        <v>0</v>
      </c>
      <c r="M69" s="415">
        <f t="shared" si="247"/>
        <v>0</v>
      </c>
      <c r="N69" s="415">
        <f t="shared" si="247"/>
        <v>0</v>
      </c>
      <c r="O69" s="415">
        <f t="shared" si="247"/>
        <v>0</v>
      </c>
      <c r="P69" s="415">
        <f t="shared" si="247"/>
        <v>0</v>
      </c>
      <c r="Q69" s="415">
        <f t="shared" si="247"/>
        <v>0</v>
      </c>
      <c r="R69" s="415">
        <f t="shared" si="247"/>
        <v>0</v>
      </c>
      <c r="S69" s="416">
        <f t="shared" si="5"/>
        <v>0</v>
      </c>
      <c r="T69" s="415">
        <f t="shared" si="232"/>
        <v>0</v>
      </c>
      <c r="U69" s="415">
        <f t="shared" si="233"/>
        <v>0</v>
      </c>
      <c r="V69" s="415">
        <f t="shared" si="233"/>
        <v>0</v>
      </c>
      <c r="W69" s="415">
        <f t="shared" si="233"/>
        <v>0</v>
      </c>
      <c r="X69" s="415">
        <f t="shared" si="233"/>
        <v>0</v>
      </c>
      <c r="Y69" s="415">
        <f t="shared" si="233"/>
        <v>0</v>
      </c>
      <c r="Z69" s="415">
        <f t="shared" si="233"/>
        <v>0</v>
      </c>
      <c r="AA69" s="415">
        <f t="shared" si="233"/>
        <v>0</v>
      </c>
      <c r="AB69" s="415">
        <f t="shared" si="233"/>
        <v>0</v>
      </c>
      <c r="AC69" s="415">
        <f t="shared" si="233"/>
        <v>0</v>
      </c>
      <c r="AD69" s="415">
        <f t="shared" si="233"/>
        <v>0</v>
      </c>
      <c r="AE69" s="415">
        <f t="shared" si="233"/>
        <v>0</v>
      </c>
      <c r="AF69" s="416">
        <f t="shared" si="234"/>
        <v>0</v>
      </c>
      <c r="AG69" s="415">
        <f t="shared" si="235"/>
        <v>0</v>
      </c>
      <c r="AH69" s="415">
        <f t="shared" si="236"/>
        <v>0</v>
      </c>
      <c r="AI69" s="415">
        <f t="shared" si="236"/>
        <v>0</v>
      </c>
      <c r="AJ69" s="415">
        <f t="shared" si="236"/>
        <v>0</v>
      </c>
      <c r="AK69" s="415">
        <f t="shared" si="236"/>
        <v>0</v>
      </c>
      <c r="AL69" s="415">
        <f t="shared" si="236"/>
        <v>0</v>
      </c>
      <c r="AM69" s="415">
        <f t="shared" si="236"/>
        <v>5000</v>
      </c>
      <c r="AN69" s="415">
        <f t="shared" si="236"/>
        <v>5000</v>
      </c>
      <c r="AO69" s="415">
        <f t="shared" si="236"/>
        <v>5000</v>
      </c>
      <c r="AP69" s="415">
        <f t="shared" si="236"/>
        <v>5000</v>
      </c>
      <c r="AQ69" s="415">
        <f t="shared" si="236"/>
        <v>5000</v>
      </c>
      <c r="AR69" s="415">
        <f t="shared" si="236"/>
        <v>5000</v>
      </c>
      <c r="AS69" s="416">
        <f t="shared" si="237"/>
        <v>30000</v>
      </c>
      <c r="AT69" s="415">
        <f t="shared" si="238"/>
        <v>5200</v>
      </c>
      <c r="AU69" s="415">
        <f t="shared" si="239"/>
        <v>5200</v>
      </c>
      <c r="AV69" s="415">
        <f t="shared" si="239"/>
        <v>5200</v>
      </c>
      <c r="AW69" s="415">
        <f t="shared" si="239"/>
        <v>5200</v>
      </c>
      <c r="AX69" s="415">
        <f t="shared" si="239"/>
        <v>5200</v>
      </c>
      <c r="AY69" s="415">
        <f t="shared" si="239"/>
        <v>5200</v>
      </c>
      <c r="AZ69" s="415">
        <f t="shared" si="239"/>
        <v>5200</v>
      </c>
      <c r="BA69" s="415">
        <f t="shared" si="239"/>
        <v>5200</v>
      </c>
      <c r="BB69" s="415">
        <f t="shared" si="239"/>
        <v>5200</v>
      </c>
      <c r="BC69" s="415">
        <f t="shared" si="239"/>
        <v>5200</v>
      </c>
      <c r="BD69" s="415">
        <f t="shared" si="239"/>
        <v>5200</v>
      </c>
      <c r="BE69" s="415">
        <f t="shared" si="239"/>
        <v>5200</v>
      </c>
      <c r="BF69" s="416">
        <f t="shared" si="240"/>
        <v>62400</v>
      </c>
      <c r="BG69" s="415">
        <f t="shared" si="241"/>
        <v>5408</v>
      </c>
      <c r="BH69" s="415">
        <f t="shared" si="242"/>
        <v>5408</v>
      </c>
      <c r="BI69" s="415">
        <f t="shared" si="242"/>
        <v>5408</v>
      </c>
      <c r="BJ69" s="415">
        <f t="shared" si="242"/>
        <v>5408</v>
      </c>
      <c r="BK69" s="415">
        <f t="shared" si="242"/>
        <v>5408</v>
      </c>
      <c r="BL69" s="415">
        <f t="shared" si="242"/>
        <v>5408</v>
      </c>
      <c r="BM69" s="415">
        <f t="shared" si="242"/>
        <v>5408</v>
      </c>
      <c r="BN69" s="415">
        <f t="shared" si="242"/>
        <v>5408</v>
      </c>
      <c r="BO69" s="415">
        <f t="shared" si="242"/>
        <v>5408</v>
      </c>
      <c r="BP69" s="415">
        <f t="shared" si="242"/>
        <v>5408</v>
      </c>
      <c r="BQ69" s="415">
        <f t="shared" si="242"/>
        <v>5408</v>
      </c>
      <c r="BR69" s="415">
        <f t="shared" si="242"/>
        <v>5408</v>
      </c>
      <c r="BS69" s="416">
        <f t="shared" si="243"/>
        <v>64896</v>
      </c>
      <c r="BT69" s="415">
        <f t="shared" si="244"/>
        <v>5624.3200000000006</v>
      </c>
      <c r="BU69" s="415">
        <f t="shared" si="245"/>
        <v>5624.3200000000006</v>
      </c>
      <c r="BV69" s="415">
        <f t="shared" si="245"/>
        <v>5624.3200000000006</v>
      </c>
      <c r="BW69" s="415">
        <f t="shared" si="245"/>
        <v>5624.3200000000006</v>
      </c>
      <c r="BX69" s="415">
        <f t="shared" si="245"/>
        <v>5624.3200000000006</v>
      </c>
      <c r="BY69" s="415">
        <f t="shared" si="245"/>
        <v>5624.3200000000006</v>
      </c>
      <c r="BZ69" s="415">
        <f t="shared" si="245"/>
        <v>5624.3200000000006</v>
      </c>
      <c r="CA69" s="415">
        <f t="shared" si="245"/>
        <v>5624.3200000000006</v>
      </c>
      <c r="CB69" s="415">
        <f t="shared" si="245"/>
        <v>5624.3200000000006</v>
      </c>
      <c r="CC69" s="415">
        <f t="shared" si="245"/>
        <v>5624.3200000000006</v>
      </c>
      <c r="CD69" s="415">
        <f t="shared" si="245"/>
        <v>5624.3200000000006</v>
      </c>
      <c r="CE69" s="415">
        <f t="shared" si="245"/>
        <v>5624.3200000000006</v>
      </c>
      <c r="CF69" s="416">
        <f t="shared" si="246"/>
        <v>67491.840000000011</v>
      </c>
    </row>
    <row r="70" spans="1:84">
      <c r="A70" s="399"/>
      <c r="B70" s="426" t="s">
        <v>137</v>
      </c>
      <c r="C70" s="420" t="s">
        <v>633</v>
      </c>
      <c r="D70" s="423">
        <v>45000</v>
      </c>
      <c r="E70" s="427"/>
      <c r="F70" s="414" t="s">
        <v>319</v>
      </c>
      <c r="G70" s="415">
        <f t="shared" si="105"/>
        <v>0</v>
      </c>
      <c r="H70" s="415">
        <f t="shared" ref="H70:R74" si="248">G70</f>
        <v>0</v>
      </c>
      <c r="I70" s="415">
        <f t="shared" si="248"/>
        <v>0</v>
      </c>
      <c r="J70" s="415">
        <f t="shared" si="247"/>
        <v>0</v>
      </c>
      <c r="K70" s="415">
        <f t="shared" si="247"/>
        <v>0</v>
      </c>
      <c r="L70" s="415">
        <f t="shared" si="247"/>
        <v>0</v>
      </c>
      <c r="M70" s="415">
        <f t="shared" si="247"/>
        <v>0</v>
      </c>
      <c r="N70" s="415">
        <f t="shared" si="247"/>
        <v>0</v>
      </c>
      <c r="O70" s="415">
        <f t="shared" si="247"/>
        <v>0</v>
      </c>
      <c r="P70" s="415">
        <f t="shared" si="247"/>
        <v>0</v>
      </c>
      <c r="Q70" s="415">
        <f t="shared" si="247"/>
        <v>0</v>
      </c>
      <c r="R70" s="415">
        <f t="shared" si="247"/>
        <v>0</v>
      </c>
      <c r="S70" s="416">
        <f t="shared" si="5"/>
        <v>0</v>
      </c>
      <c r="T70" s="415">
        <f t="shared" si="232"/>
        <v>0</v>
      </c>
      <c r="U70" s="415">
        <f t="shared" si="233"/>
        <v>0</v>
      </c>
      <c r="V70" s="415">
        <f t="shared" si="233"/>
        <v>0</v>
      </c>
      <c r="W70" s="415">
        <f t="shared" si="233"/>
        <v>0</v>
      </c>
      <c r="X70" s="415">
        <f t="shared" si="233"/>
        <v>0</v>
      </c>
      <c r="Y70" s="415">
        <f t="shared" si="233"/>
        <v>0</v>
      </c>
      <c r="Z70" s="415">
        <f t="shared" si="233"/>
        <v>0</v>
      </c>
      <c r="AA70" s="415">
        <f t="shared" si="233"/>
        <v>0</v>
      </c>
      <c r="AB70" s="415">
        <f t="shared" si="233"/>
        <v>0</v>
      </c>
      <c r="AC70" s="415">
        <f t="shared" si="233"/>
        <v>0</v>
      </c>
      <c r="AD70" s="415">
        <f t="shared" si="233"/>
        <v>0</v>
      </c>
      <c r="AE70" s="415">
        <f t="shared" si="233"/>
        <v>0</v>
      </c>
      <c r="AF70" s="416">
        <f t="shared" si="234"/>
        <v>0</v>
      </c>
      <c r="AG70" s="415">
        <f t="shared" si="235"/>
        <v>0</v>
      </c>
      <c r="AH70" s="415">
        <f t="shared" si="236"/>
        <v>0</v>
      </c>
      <c r="AI70" s="415">
        <f t="shared" si="236"/>
        <v>0</v>
      </c>
      <c r="AJ70" s="415">
        <f t="shared" si="236"/>
        <v>0</v>
      </c>
      <c r="AK70" s="415">
        <f t="shared" si="236"/>
        <v>0</v>
      </c>
      <c r="AL70" s="415">
        <f t="shared" si="236"/>
        <v>0</v>
      </c>
      <c r="AM70" s="415">
        <f t="shared" si="236"/>
        <v>0</v>
      </c>
      <c r="AN70" s="415">
        <f t="shared" si="236"/>
        <v>0</v>
      </c>
      <c r="AO70" s="415">
        <f t="shared" si="236"/>
        <v>0</v>
      </c>
      <c r="AP70" s="415">
        <f t="shared" si="236"/>
        <v>0</v>
      </c>
      <c r="AQ70" s="415">
        <f t="shared" si="236"/>
        <v>0</v>
      </c>
      <c r="AR70" s="415">
        <f t="shared" si="236"/>
        <v>0</v>
      </c>
      <c r="AS70" s="416">
        <f t="shared" si="237"/>
        <v>0</v>
      </c>
      <c r="AT70" s="415">
        <f t="shared" si="238"/>
        <v>3750</v>
      </c>
      <c r="AU70" s="415">
        <f t="shared" si="239"/>
        <v>3750</v>
      </c>
      <c r="AV70" s="415">
        <f t="shared" si="239"/>
        <v>3750</v>
      </c>
      <c r="AW70" s="415">
        <f t="shared" si="239"/>
        <v>3750</v>
      </c>
      <c r="AX70" s="415">
        <f t="shared" si="239"/>
        <v>3750</v>
      </c>
      <c r="AY70" s="415">
        <f t="shared" si="239"/>
        <v>3750</v>
      </c>
      <c r="AZ70" s="415">
        <f t="shared" si="239"/>
        <v>3750</v>
      </c>
      <c r="BA70" s="415">
        <f t="shared" si="239"/>
        <v>3750</v>
      </c>
      <c r="BB70" s="415">
        <f t="shared" si="239"/>
        <v>3750</v>
      </c>
      <c r="BC70" s="415">
        <f t="shared" si="239"/>
        <v>3750</v>
      </c>
      <c r="BD70" s="415">
        <f t="shared" si="239"/>
        <v>3750</v>
      </c>
      <c r="BE70" s="415">
        <f t="shared" si="239"/>
        <v>3750</v>
      </c>
      <c r="BF70" s="416">
        <f t="shared" si="240"/>
        <v>45000</v>
      </c>
      <c r="BG70" s="415">
        <f t="shared" si="241"/>
        <v>3900</v>
      </c>
      <c r="BH70" s="415">
        <f t="shared" si="242"/>
        <v>3900</v>
      </c>
      <c r="BI70" s="415">
        <f t="shared" si="242"/>
        <v>3900</v>
      </c>
      <c r="BJ70" s="415">
        <f t="shared" si="242"/>
        <v>3900</v>
      </c>
      <c r="BK70" s="415">
        <f t="shared" si="242"/>
        <v>3900</v>
      </c>
      <c r="BL70" s="415">
        <f t="shared" si="242"/>
        <v>3900</v>
      </c>
      <c r="BM70" s="415">
        <f t="shared" si="242"/>
        <v>3900</v>
      </c>
      <c r="BN70" s="415">
        <f t="shared" si="242"/>
        <v>3900</v>
      </c>
      <c r="BO70" s="415">
        <f t="shared" si="242"/>
        <v>3900</v>
      </c>
      <c r="BP70" s="415">
        <f t="shared" si="242"/>
        <v>3900</v>
      </c>
      <c r="BQ70" s="415">
        <f t="shared" si="242"/>
        <v>3900</v>
      </c>
      <c r="BR70" s="415">
        <f t="shared" si="242"/>
        <v>3900</v>
      </c>
      <c r="BS70" s="416">
        <f t="shared" si="243"/>
        <v>46800</v>
      </c>
      <c r="BT70" s="415">
        <f t="shared" si="244"/>
        <v>4056</v>
      </c>
      <c r="BU70" s="415">
        <f t="shared" si="245"/>
        <v>4056</v>
      </c>
      <c r="BV70" s="415">
        <f t="shared" si="245"/>
        <v>4056</v>
      </c>
      <c r="BW70" s="415">
        <f t="shared" si="245"/>
        <v>4056</v>
      </c>
      <c r="BX70" s="415">
        <f t="shared" si="245"/>
        <v>4056</v>
      </c>
      <c r="BY70" s="415">
        <f t="shared" si="245"/>
        <v>4056</v>
      </c>
      <c r="BZ70" s="415">
        <f t="shared" si="245"/>
        <v>4056</v>
      </c>
      <c r="CA70" s="415">
        <f t="shared" si="245"/>
        <v>4056</v>
      </c>
      <c r="CB70" s="415">
        <f t="shared" si="245"/>
        <v>4056</v>
      </c>
      <c r="CC70" s="415">
        <f t="shared" si="245"/>
        <v>4056</v>
      </c>
      <c r="CD70" s="415">
        <f t="shared" si="245"/>
        <v>4056</v>
      </c>
      <c r="CE70" s="415">
        <f t="shared" si="245"/>
        <v>4056</v>
      </c>
      <c r="CF70" s="416">
        <f t="shared" si="246"/>
        <v>48672</v>
      </c>
    </row>
    <row r="71" spans="1:84">
      <c r="A71" s="399"/>
      <c r="B71" s="426" t="s">
        <v>137</v>
      </c>
      <c r="C71" s="420" t="s">
        <v>633</v>
      </c>
      <c r="D71" s="423">
        <v>45000</v>
      </c>
      <c r="E71" s="427"/>
      <c r="F71" s="414" t="s">
        <v>319</v>
      </c>
      <c r="G71" s="415">
        <f t="shared" si="105"/>
        <v>0</v>
      </c>
      <c r="H71" s="415">
        <f t="shared" si="248"/>
        <v>0</v>
      </c>
      <c r="I71" s="415">
        <f t="shared" si="248"/>
        <v>0</v>
      </c>
      <c r="J71" s="415">
        <f t="shared" si="247"/>
        <v>0</v>
      </c>
      <c r="K71" s="415">
        <f t="shared" si="247"/>
        <v>0</v>
      </c>
      <c r="L71" s="415">
        <f t="shared" si="247"/>
        <v>0</v>
      </c>
      <c r="M71" s="415">
        <f t="shared" si="247"/>
        <v>0</v>
      </c>
      <c r="N71" s="415">
        <f t="shared" si="247"/>
        <v>0</v>
      </c>
      <c r="O71" s="415">
        <f t="shared" si="247"/>
        <v>0</v>
      </c>
      <c r="P71" s="415">
        <f t="shared" si="247"/>
        <v>0</v>
      </c>
      <c r="Q71" s="415">
        <f t="shared" si="247"/>
        <v>0</v>
      </c>
      <c r="R71" s="415">
        <f t="shared" si="247"/>
        <v>0</v>
      </c>
      <c r="S71" s="416">
        <f t="shared" si="5"/>
        <v>0</v>
      </c>
      <c r="T71" s="415">
        <f t="shared" si="232"/>
        <v>0</v>
      </c>
      <c r="U71" s="415">
        <f t="shared" si="233"/>
        <v>0</v>
      </c>
      <c r="V71" s="415">
        <f t="shared" si="233"/>
        <v>0</v>
      </c>
      <c r="W71" s="415">
        <f t="shared" si="233"/>
        <v>0</v>
      </c>
      <c r="X71" s="415">
        <f t="shared" si="233"/>
        <v>0</v>
      </c>
      <c r="Y71" s="415">
        <f t="shared" si="233"/>
        <v>0</v>
      </c>
      <c r="Z71" s="415">
        <f t="shared" si="233"/>
        <v>0</v>
      </c>
      <c r="AA71" s="415">
        <f t="shared" si="233"/>
        <v>0</v>
      </c>
      <c r="AB71" s="415">
        <f t="shared" si="233"/>
        <v>0</v>
      </c>
      <c r="AC71" s="415">
        <f t="shared" si="233"/>
        <v>0</v>
      </c>
      <c r="AD71" s="415">
        <f t="shared" si="233"/>
        <v>0</v>
      </c>
      <c r="AE71" s="415">
        <f t="shared" si="233"/>
        <v>0</v>
      </c>
      <c r="AF71" s="416">
        <f t="shared" si="234"/>
        <v>0</v>
      </c>
      <c r="AG71" s="415">
        <f t="shared" si="235"/>
        <v>0</v>
      </c>
      <c r="AH71" s="415">
        <f t="shared" si="236"/>
        <v>0</v>
      </c>
      <c r="AI71" s="415">
        <f t="shared" si="236"/>
        <v>0</v>
      </c>
      <c r="AJ71" s="415">
        <f t="shared" si="236"/>
        <v>0</v>
      </c>
      <c r="AK71" s="415">
        <f t="shared" si="236"/>
        <v>0</v>
      </c>
      <c r="AL71" s="415">
        <f t="shared" si="236"/>
        <v>0</v>
      </c>
      <c r="AM71" s="415">
        <f t="shared" si="236"/>
        <v>0</v>
      </c>
      <c r="AN71" s="415">
        <f t="shared" si="236"/>
        <v>0</v>
      </c>
      <c r="AO71" s="415">
        <f t="shared" si="236"/>
        <v>0</v>
      </c>
      <c r="AP71" s="415">
        <f t="shared" si="236"/>
        <v>0</v>
      </c>
      <c r="AQ71" s="415">
        <f t="shared" si="236"/>
        <v>0</v>
      </c>
      <c r="AR71" s="415">
        <f t="shared" si="236"/>
        <v>0</v>
      </c>
      <c r="AS71" s="416">
        <f t="shared" si="237"/>
        <v>0</v>
      </c>
      <c r="AT71" s="415">
        <f t="shared" si="238"/>
        <v>3750</v>
      </c>
      <c r="AU71" s="415">
        <f t="shared" si="239"/>
        <v>3750</v>
      </c>
      <c r="AV71" s="415">
        <f t="shared" si="239"/>
        <v>3750</v>
      </c>
      <c r="AW71" s="415">
        <f t="shared" si="239"/>
        <v>3750</v>
      </c>
      <c r="AX71" s="415">
        <f t="shared" si="239"/>
        <v>3750</v>
      </c>
      <c r="AY71" s="415">
        <f t="shared" si="239"/>
        <v>3750</v>
      </c>
      <c r="AZ71" s="415">
        <f t="shared" si="239"/>
        <v>3750</v>
      </c>
      <c r="BA71" s="415">
        <f t="shared" si="239"/>
        <v>3750</v>
      </c>
      <c r="BB71" s="415">
        <f t="shared" si="239"/>
        <v>3750</v>
      </c>
      <c r="BC71" s="415">
        <f t="shared" si="239"/>
        <v>3750</v>
      </c>
      <c r="BD71" s="415">
        <f t="shared" si="239"/>
        <v>3750</v>
      </c>
      <c r="BE71" s="415">
        <f t="shared" si="239"/>
        <v>3750</v>
      </c>
      <c r="BF71" s="416">
        <f t="shared" si="240"/>
        <v>45000</v>
      </c>
      <c r="BG71" s="415">
        <f t="shared" si="241"/>
        <v>3900</v>
      </c>
      <c r="BH71" s="415">
        <f t="shared" si="242"/>
        <v>3900</v>
      </c>
      <c r="BI71" s="415">
        <f t="shared" si="242"/>
        <v>3900</v>
      </c>
      <c r="BJ71" s="415">
        <f t="shared" si="242"/>
        <v>3900</v>
      </c>
      <c r="BK71" s="415">
        <f t="shared" si="242"/>
        <v>3900</v>
      </c>
      <c r="BL71" s="415">
        <f t="shared" si="242"/>
        <v>3900</v>
      </c>
      <c r="BM71" s="415">
        <f t="shared" si="242"/>
        <v>3900</v>
      </c>
      <c r="BN71" s="415">
        <f t="shared" si="242"/>
        <v>3900</v>
      </c>
      <c r="BO71" s="415">
        <f t="shared" si="242"/>
        <v>3900</v>
      </c>
      <c r="BP71" s="415">
        <f t="shared" si="242"/>
        <v>3900</v>
      </c>
      <c r="BQ71" s="415">
        <f t="shared" si="242"/>
        <v>3900</v>
      </c>
      <c r="BR71" s="415">
        <f t="shared" si="242"/>
        <v>3900</v>
      </c>
      <c r="BS71" s="416">
        <f t="shared" si="243"/>
        <v>46800</v>
      </c>
      <c r="BT71" s="415">
        <f t="shared" si="244"/>
        <v>4056</v>
      </c>
      <c r="BU71" s="415">
        <f t="shared" si="245"/>
        <v>4056</v>
      </c>
      <c r="BV71" s="415">
        <f t="shared" si="245"/>
        <v>4056</v>
      </c>
      <c r="BW71" s="415">
        <f t="shared" si="245"/>
        <v>4056</v>
      </c>
      <c r="BX71" s="415">
        <f t="shared" si="245"/>
        <v>4056</v>
      </c>
      <c r="BY71" s="415">
        <f t="shared" si="245"/>
        <v>4056</v>
      </c>
      <c r="BZ71" s="415">
        <f t="shared" si="245"/>
        <v>4056</v>
      </c>
      <c r="CA71" s="415">
        <f t="shared" si="245"/>
        <v>4056</v>
      </c>
      <c r="CB71" s="415">
        <f t="shared" si="245"/>
        <v>4056</v>
      </c>
      <c r="CC71" s="415">
        <f t="shared" si="245"/>
        <v>4056</v>
      </c>
      <c r="CD71" s="415">
        <f t="shared" si="245"/>
        <v>4056</v>
      </c>
      <c r="CE71" s="415">
        <f t="shared" si="245"/>
        <v>4056</v>
      </c>
      <c r="CF71" s="416">
        <f t="shared" si="246"/>
        <v>48672</v>
      </c>
    </row>
    <row r="72" spans="1:84">
      <c r="A72" s="399"/>
      <c r="B72" s="426" t="s">
        <v>137</v>
      </c>
      <c r="C72" s="420" t="s">
        <v>634</v>
      </c>
      <c r="D72" s="423">
        <v>65000</v>
      </c>
      <c r="E72" s="427"/>
      <c r="F72" s="414" t="s">
        <v>319</v>
      </c>
      <c r="G72" s="415">
        <f t="shared" si="105"/>
        <v>0</v>
      </c>
      <c r="H72" s="415">
        <f t="shared" si="248"/>
        <v>0</v>
      </c>
      <c r="I72" s="415">
        <f t="shared" si="248"/>
        <v>0</v>
      </c>
      <c r="J72" s="415">
        <f t="shared" si="248"/>
        <v>0</v>
      </c>
      <c r="K72" s="415">
        <f t="shared" si="248"/>
        <v>0</v>
      </c>
      <c r="L72" s="415">
        <f t="shared" si="248"/>
        <v>0</v>
      </c>
      <c r="M72" s="415">
        <f t="shared" si="248"/>
        <v>0</v>
      </c>
      <c r="N72" s="415">
        <f t="shared" si="248"/>
        <v>0</v>
      </c>
      <c r="O72" s="415">
        <f t="shared" si="248"/>
        <v>0</v>
      </c>
      <c r="P72" s="415">
        <f t="shared" si="248"/>
        <v>0</v>
      </c>
      <c r="Q72" s="415">
        <f t="shared" si="248"/>
        <v>0</v>
      </c>
      <c r="R72" s="415">
        <f t="shared" si="248"/>
        <v>0</v>
      </c>
      <c r="S72" s="416">
        <f t="shared" si="5"/>
        <v>0</v>
      </c>
      <c r="T72" s="415">
        <f t="shared" si="232"/>
        <v>0</v>
      </c>
      <c r="U72" s="415">
        <f t="shared" si="233"/>
        <v>0</v>
      </c>
      <c r="V72" s="415">
        <f t="shared" si="233"/>
        <v>0</v>
      </c>
      <c r="W72" s="415">
        <f t="shared" si="233"/>
        <v>0</v>
      </c>
      <c r="X72" s="415">
        <f t="shared" si="233"/>
        <v>0</v>
      </c>
      <c r="Y72" s="415">
        <f t="shared" si="233"/>
        <v>0</v>
      </c>
      <c r="Z72" s="415">
        <f t="shared" si="233"/>
        <v>0</v>
      </c>
      <c r="AA72" s="415">
        <f t="shared" si="233"/>
        <v>0</v>
      </c>
      <c r="AB72" s="415">
        <f t="shared" si="233"/>
        <v>0</v>
      </c>
      <c r="AC72" s="415">
        <f t="shared" si="233"/>
        <v>0</v>
      </c>
      <c r="AD72" s="415">
        <f t="shared" si="233"/>
        <v>0</v>
      </c>
      <c r="AE72" s="415">
        <f t="shared" si="233"/>
        <v>0</v>
      </c>
      <c r="AF72" s="416">
        <f t="shared" si="234"/>
        <v>0</v>
      </c>
      <c r="AG72" s="415">
        <f t="shared" si="235"/>
        <v>0</v>
      </c>
      <c r="AH72" s="415">
        <f t="shared" si="236"/>
        <v>0</v>
      </c>
      <c r="AI72" s="415">
        <f t="shared" si="236"/>
        <v>0</v>
      </c>
      <c r="AJ72" s="415">
        <f t="shared" si="236"/>
        <v>0</v>
      </c>
      <c r="AK72" s="415">
        <f t="shared" si="236"/>
        <v>0</v>
      </c>
      <c r="AL72" s="415">
        <f t="shared" si="236"/>
        <v>0</v>
      </c>
      <c r="AM72" s="415">
        <f t="shared" si="236"/>
        <v>0</v>
      </c>
      <c r="AN72" s="415">
        <f t="shared" si="236"/>
        <v>0</v>
      </c>
      <c r="AO72" s="415">
        <f t="shared" si="236"/>
        <v>0</v>
      </c>
      <c r="AP72" s="415">
        <f t="shared" si="236"/>
        <v>0</v>
      </c>
      <c r="AQ72" s="415">
        <f t="shared" si="236"/>
        <v>0</v>
      </c>
      <c r="AR72" s="415">
        <f t="shared" si="236"/>
        <v>0</v>
      </c>
      <c r="AS72" s="416">
        <f t="shared" si="237"/>
        <v>0</v>
      </c>
      <c r="AT72" s="415">
        <f t="shared" si="238"/>
        <v>5416.666666666667</v>
      </c>
      <c r="AU72" s="415">
        <f t="shared" si="239"/>
        <v>5416.666666666667</v>
      </c>
      <c r="AV72" s="415">
        <f t="shared" si="239"/>
        <v>5416.666666666667</v>
      </c>
      <c r="AW72" s="415">
        <f t="shared" si="239"/>
        <v>5416.666666666667</v>
      </c>
      <c r="AX72" s="415">
        <f t="shared" si="239"/>
        <v>5416.666666666667</v>
      </c>
      <c r="AY72" s="415">
        <f t="shared" si="239"/>
        <v>5416.666666666667</v>
      </c>
      <c r="AZ72" s="415">
        <f t="shared" si="239"/>
        <v>5416.666666666667</v>
      </c>
      <c r="BA72" s="415">
        <f t="shared" si="239"/>
        <v>5416.666666666667</v>
      </c>
      <c r="BB72" s="415">
        <f t="shared" si="239"/>
        <v>5416.666666666667</v>
      </c>
      <c r="BC72" s="415">
        <f t="shared" si="239"/>
        <v>5416.666666666667</v>
      </c>
      <c r="BD72" s="415">
        <f t="shared" si="239"/>
        <v>5416.666666666667</v>
      </c>
      <c r="BE72" s="415">
        <f t="shared" si="239"/>
        <v>5416.666666666667</v>
      </c>
      <c r="BF72" s="416">
        <f t="shared" si="240"/>
        <v>64999.999999999993</v>
      </c>
      <c r="BG72" s="415">
        <f t="shared" si="241"/>
        <v>5633.3333333333339</v>
      </c>
      <c r="BH72" s="415">
        <f t="shared" si="242"/>
        <v>5633.3333333333339</v>
      </c>
      <c r="BI72" s="415">
        <f t="shared" si="242"/>
        <v>5633.3333333333339</v>
      </c>
      <c r="BJ72" s="415">
        <f t="shared" si="242"/>
        <v>5633.3333333333339</v>
      </c>
      <c r="BK72" s="415">
        <f t="shared" si="242"/>
        <v>5633.3333333333339</v>
      </c>
      <c r="BL72" s="415">
        <f t="shared" si="242"/>
        <v>5633.3333333333339</v>
      </c>
      <c r="BM72" s="415">
        <f t="shared" si="242"/>
        <v>5633.3333333333339</v>
      </c>
      <c r="BN72" s="415">
        <f t="shared" si="242"/>
        <v>5633.3333333333339</v>
      </c>
      <c r="BO72" s="415">
        <f t="shared" si="242"/>
        <v>5633.3333333333339</v>
      </c>
      <c r="BP72" s="415">
        <f t="shared" si="242"/>
        <v>5633.3333333333339</v>
      </c>
      <c r="BQ72" s="415">
        <f t="shared" si="242"/>
        <v>5633.3333333333339</v>
      </c>
      <c r="BR72" s="415">
        <f t="shared" si="242"/>
        <v>5633.3333333333339</v>
      </c>
      <c r="BS72" s="416">
        <f t="shared" si="243"/>
        <v>67600.000000000015</v>
      </c>
      <c r="BT72" s="415">
        <f t="shared" si="244"/>
        <v>5858.6666666666679</v>
      </c>
      <c r="BU72" s="415">
        <f t="shared" si="245"/>
        <v>5858.6666666666679</v>
      </c>
      <c r="BV72" s="415">
        <f t="shared" si="245"/>
        <v>5858.6666666666679</v>
      </c>
      <c r="BW72" s="415">
        <f t="shared" si="245"/>
        <v>5858.6666666666679</v>
      </c>
      <c r="BX72" s="415">
        <f t="shared" si="245"/>
        <v>5858.6666666666679</v>
      </c>
      <c r="BY72" s="415">
        <f t="shared" si="245"/>
        <v>5858.6666666666679</v>
      </c>
      <c r="BZ72" s="415">
        <f t="shared" si="245"/>
        <v>5858.6666666666679</v>
      </c>
      <c r="CA72" s="415">
        <f t="shared" si="245"/>
        <v>5858.6666666666679</v>
      </c>
      <c r="CB72" s="415">
        <f t="shared" si="245"/>
        <v>5858.6666666666679</v>
      </c>
      <c r="CC72" s="415">
        <f t="shared" si="245"/>
        <v>5858.6666666666679</v>
      </c>
      <c r="CD72" s="415">
        <f t="shared" si="245"/>
        <v>5858.6666666666679</v>
      </c>
      <c r="CE72" s="415">
        <f t="shared" si="245"/>
        <v>5858.6666666666679</v>
      </c>
      <c r="CF72" s="416">
        <f t="shared" si="246"/>
        <v>70304.000000000029</v>
      </c>
    </row>
    <row r="73" spans="1:84">
      <c r="A73" s="399"/>
      <c r="B73" s="426" t="s">
        <v>137</v>
      </c>
      <c r="C73" s="420" t="s">
        <v>635</v>
      </c>
      <c r="D73" s="423">
        <v>55000</v>
      </c>
      <c r="E73" s="427"/>
      <c r="F73" s="414" t="s">
        <v>319</v>
      </c>
      <c r="G73" s="415">
        <f t="shared" si="105"/>
        <v>0</v>
      </c>
      <c r="H73" s="415">
        <f t="shared" si="248"/>
        <v>0</v>
      </c>
      <c r="I73" s="415">
        <f t="shared" si="248"/>
        <v>0</v>
      </c>
      <c r="J73" s="415">
        <f t="shared" si="248"/>
        <v>0</v>
      </c>
      <c r="K73" s="415">
        <f t="shared" si="248"/>
        <v>0</v>
      </c>
      <c r="L73" s="415">
        <f t="shared" si="248"/>
        <v>0</v>
      </c>
      <c r="M73" s="415">
        <f t="shared" si="248"/>
        <v>0</v>
      </c>
      <c r="N73" s="415">
        <f t="shared" si="248"/>
        <v>0</v>
      </c>
      <c r="O73" s="415">
        <f t="shared" si="248"/>
        <v>0</v>
      </c>
      <c r="P73" s="415">
        <f t="shared" si="248"/>
        <v>0</v>
      </c>
      <c r="Q73" s="415">
        <f t="shared" si="248"/>
        <v>0</v>
      </c>
      <c r="R73" s="415">
        <f t="shared" si="248"/>
        <v>0</v>
      </c>
      <c r="S73" s="416">
        <f t="shared" si="5"/>
        <v>0</v>
      </c>
      <c r="T73" s="415">
        <f t="shared" si="232"/>
        <v>0</v>
      </c>
      <c r="U73" s="415">
        <f t="shared" si="233"/>
        <v>0</v>
      </c>
      <c r="V73" s="415">
        <f t="shared" si="233"/>
        <v>0</v>
      </c>
      <c r="W73" s="415">
        <f t="shared" si="233"/>
        <v>0</v>
      </c>
      <c r="X73" s="415">
        <f t="shared" si="233"/>
        <v>0</v>
      </c>
      <c r="Y73" s="415">
        <f t="shared" si="233"/>
        <v>0</v>
      </c>
      <c r="Z73" s="415">
        <f t="shared" si="233"/>
        <v>0</v>
      </c>
      <c r="AA73" s="415">
        <f t="shared" si="233"/>
        <v>0</v>
      </c>
      <c r="AB73" s="415">
        <f t="shared" si="233"/>
        <v>0</v>
      </c>
      <c r="AC73" s="415">
        <f t="shared" si="233"/>
        <v>0</v>
      </c>
      <c r="AD73" s="415">
        <f t="shared" si="233"/>
        <v>0</v>
      </c>
      <c r="AE73" s="415">
        <f t="shared" si="233"/>
        <v>0</v>
      </c>
      <c r="AF73" s="416">
        <f t="shared" si="234"/>
        <v>0</v>
      </c>
      <c r="AG73" s="415">
        <f t="shared" si="235"/>
        <v>0</v>
      </c>
      <c r="AH73" s="415">
        <f t="shared" si="236"/>
        <v>0</v>
      </c>
      <c r="AI73" s="415">
        <f t="shared" si="236"/>
        <v>0</v>
      </c>
      <c r="AJ73" s="415">
        <f t="shared" si="236"/>
        <v>0</v>
      </c>
      <c r="AK73" s="415">
        <f t="shared" si="236"/>
        <v>0</v>
      </c>
      <c r="AL73" s="415">
        <f t="shared" si="236"/>
        <v>0</v>
      </c>
      <c r="AM73" s="415">
        <f t="shared" si="236"/>
        <v>0</v>
      </c>
      <c r="AN73" s="415">
        <f t="shared" si="236"/>
        <v>0</v>
      </c>
      <c r="AO73" s="415">
        <f t="shared" si="236"/>
        <v>0</v>
      </c>
      <c r="AP73" s="415">
        <f t="shared" si="236"/>
        <v>0</v>
      </c>
      <c r="AQ73" s="415">
        <f t="shared" si="236"/>
        <v>0</v>
      </c>
      <c r="AR73" s="415">
        <f t="shared" si="236"/>
        <v>0</v>
      </c>
      <c r="AS73" s="416">
        <f t="shared" si="237"/>
        <v>0</v>
      </c>
      <c r="AT73" s="415">
        <f t="shared" si="238"/>
        <v>4583.333333333333</v>
      </c>
      <c r="AU73" s="415">
        <f t="shared" si="239"/>
        <v>4583.333333333333</v>
      </c>
      <c r="AV73" s="415">
        <f t="shared" si="239"/>
        <v>4583.333333333333</v>
      </c>
      <c r="AW73" s="415">
        <f t="shared" si="239"/>
        <v>4583.333333333333</v>
      </c>
      <c r="AX73" s="415">
        <f t="shared" si="239"/>
        <v>4583.333333333333</v>
      </c>
      <c r="AY73" s="415">
        <f t="shared" si="239"/>
        <v>4583.333333333333</v>
      </c>
      <c r="AZ73" s="415">
        <f t="shared" si="239"/>
        <v>4583.333333333333</v>
      </c>
      <c r="BA73" s="415">
        <f t="shared" si="239"/>
        <v>4583.333333333333</v>
      </c>
      <c r="BB73" s="415">
        <f t="shared" si="239"/>
        <v>4583.333333333333</v>
      </c>
      <c r="BC73" s="415">
        <f t="shared" si="239"/>
        <v>4583.333333333333</v>
      </c>
      <c r="BD73" s="415">
        <f t="shared" si="239"/>
        <v>4583.333333333333</v>
      </c>
      <c r="BE73" s="415">
        <f t="shared" si="239"/>
        <v>4583.333333333333</v>
      </c>
      <c r="BF73" s="416">
        <f t="shared" si="240"/>
        <v>55000.000000000007</v>
      </c>
      <c r="BG73" s="415">
        <f t="shared" si="241"/>
        <v>4766.6666666666661</v>
      </c>
      <c r="BH73" s="415">
        <f t="shared" si="242"/>
        <v>4766.6666666666661</v>
      </c>
      <c r="BI73" s="415">
        <f t="shared" si="242"/>
        <v>4766.6666666666661</v>
      </c>
      <c r="BJ73" s="415">
        <f t="shared" si="242"/>
        <v>4766.6666666666661</v>
      </c>
      <c r="BK73" s="415">
        <f t="shared" si="242"/>
        <v>4766.6666666666661</v>
      </c>
      <c r="BL73" s="415">
        <f t="shared" si="242"/>
        <v>4766.6666666666661</v>
      </c>
      <c r="BM73" s="415">
        <f t="shared" si="242"/>
        <v>4766.6666666666661</v>
      </c>
      <c r="BN73" s="415">
        <f t="shared" si="242"/>
        <v>4766.6666666666661</v>
      </c>
      <c r="BO73" s="415">
        <f t="shared" si="242"/>
        <v>4766.6666666666661</v>
      </c>
      <c r="BP73" s="415">
        <f t="shared" si="242"/>
        <v>4766.6666666666661</v>
      </c>
      <c r="BQ73" s="415">
        <f t="shared" si="242"/>
        <v>4766.6666666666661</v>
      </c>
      <c r="BR73" s="415">
        <f t="shared" si="242"/>
        <v>4766.6666666666661</v>
      </c>
      <c r="BS73" s="416">
        <f t="shared" si="243"/>
        <v>57199.999999999978</v>
      </c>
      <c r="BT73" s="415">
        <f t="shared" si="244"/>
        <v>4957.333333333333</v>
      </c>
      <c r="BU73" s="415">
        <f t="shared" si="245"/>
        <v>4957.333333333333</v>
      </c>
      <c r="BV73" s="415">
        <f t="shared" si="245"/>
        <v>4957.333333333333</v>
      </c>
      <c r="BW73" s="415">
        <f t="shared" si="245"/>
        <v>4957.333333333333</v>
      </c>
      <c r="BX73" s="415">
        <f t="shared" si="245"/>
        <v>4957.333333333333</v>
      </c>
      <c r="BY73" s="415">
        <f t="shared" si="245"/>
        <v>4957.333333333333</v>
      </c>
      <c r="BZ73" s="415">
        <f t="shared" si="245"/>
        <v>4957.333333333333</v>
      </c>
      <c r="CA73" s="415">
        <f t="shared" si="245"/>
        <v>4957.333333333333</v>
      </c>
      <c r="CB73" s="415">
        <f t="shared" si="245"/>
        <v>4957.333333333333</v>
      </c>
      <c r="CC73" s="415">
        <f t="shared" si="245"/>
        <v>4957.333333333333</v>
      </c>
      <c r="CD73" s="415">
        <f t="shared" si="245"/>
        <v>4957.333333333333</v>
      </c>
      <c r="CE73" s="415">
        <f t="shared" si="245"/>
        <v>4957.333333333333</v>
      </c>
      <c r="CF73" s="416">
        <f t="shared" si="246"/>
        <v>59488.000000000007</v>
      </c>
    </row>
    <row r="74" spans="1:84">
      <c r="A74" s="399"/>
      <c r="B74" s="426" t="s">
        <v>137</v>
      </c>
      <c r="C74" s="420" t="s">
        <v>636</v>
      </c>
      <c r="D74" s="423">
        <v>45000</v>
      </c>
      <c r="E74" s="427"/>
      <c r="F74" s="414" t="s">
        <v>319</v>
      </c>
      <c r="G74" s="415">
        <f t="shared" si="105"/>
        <v>0</v>
      </c>
      <c r="H74" s="415">
        <f t="shared" si="248"/>
        <v>0</v>
      </c>
      <c r="I74" s="415">
        <f t="shared" si="248"/>
        <v>0</v>
      </c>
      <c r="J74" s="415">
        <f t="shared" si="248"/>
        <v>0</v>
      </c>
      <c r="K74" s="415">
        <f t="shared" si="248"/>
        <v>0</v>
      </c>
      <c r="L74" s="415">
        <f t="shared" si="248"/>
        <v>0</v>
      </c>
      <c r="M74" s="415">
        <f t="shared" si="248"/>
        <v>0</v>
      </c>
      <c r="N74" s="415">
        <f t="shared" si="248"/>
        <v>0</v>
      </c>
      <c r="O74" s="415">
        <f t="shared" si="248"/>
        <v>0</v>
      </c>
      <c r="P74" s="415">
        <f t="shared" si="248"/>
        <v>0</v>
      </c>
      <c r="Q74" s="415">
        <f t="shared" si="248"/>
        <v>0</v>
      </c>
      <c r="R74" s="415">
        <f t="shared" si="248"/>
        <v>0</v>
      </c>
      <c r="S74" s="416">
        <f t="shared" si="5"/>
        <v>0</v>
      </c>
      <c r="T74" s="415">
        <f t="shared" si="232"/>
        <v>0</v>
      </c>
      <c r="U74" s="415">
        <f t="shared" si="233"/>
        <v>0</v>
      </c>
      <c r="V74" s="415">
        <f t="shared" si="233"/>
        <v>0</v>
      </c>
      <c r="W74" s="415">
        <f t="shared" si="233"/>
        <v>0</v>
      </c>
      <c r="X74" s="415">
        <f t="shared" si="233"/>
        <v>0</v>
      </c>
      <c r="Y74" s="415">
        <f t="shared" si="233"/>
        <v>0</v>
      </c>
      <c r="Z74" s="415">
        <f t="shared" si="233"/>
        <v>0</v>
      </c>
      <c r="AA74" s="415">
        <f t="shared" si="233"/>
        <v>0</v>
      </c>
      <c r="AB74" s="415">
        <f t="shared" si="233"/>
        <v>0</v>
      </c>
      <c r="AC74" s="415">
        <f t="shared" si="233"/>
        <v>0</v>
      </c>
      <c r="AD74" s="415">
        <f t="shared" si="233"/>
        <v>0</v>
      </c>
      <c r="AE74" s="415">
        <f t="shared" si="233"/>
        <v>0</v>
      </c>
      <c r="AF74" s="416">
        <f t="shared" si="234"/>
        <v>0</v>
      </c>
      <c r="AG74" s="415">
        <f t="shared" si="235"/>
        <v>0</v>
      </c>
      <c r="AH74" s="415">
        <f t="shared" si="236"/>
        <v>0</v>
      </c>
      <c r="AI74" s="415">
        <f t="shared" si="236"/>
        <v>0</v>
      </c>
      <c r="AJ74" s="415">
        <f t="shared" si="236"/>
        <v>0</v>
      </c>
      <c r="AK74" s="415">
        <f t="shared" si="236"/>
        <v>0</v>
      </c>
      <c r="AL74" s="415">
        <f t="shared" si="236"/>
        <v>0</v>
      </c>
      <c r="AM74" s="415">
        <f t="shared" si="236"/>
        <v>0</v>
      </c>
      <c r="AN74" s="415">
        <f t="shared" si="236"/>
        <v>0</v>
      </c>
      <c r="AO74" s="415">
        <f t="shared" si="236"/>
        <v>0</v>
      </c>
      <c r="AP74" s="415">
        <f t="shared" si="236"/>
        <v>0</v>
      </c>
      <c r="AQ74" s="415">
        <f t="shared" si="236"/>
        <v>0</v>
      </c>
      <c r="AR74" s="415">
        <f t="shared" si="236"/>
        <v>0</v>
      </c>
      <c r="AS74" s="416">
        <f t="shared" si="237"/>
        <v>0</v>
      </c>
      <c r="AT74" s="415">
        <f t="shared" si="238"/>
        <v>3750</v>
      </c>
      <c r="AU74" s="415">
        <f t="shared" si="239"/>
        <v>3750</v>
      </c>
      <c r="AV74" s="415">
        <f t="shared" si="239"/>
        <v>3750</v>
      </c>
      <c r="AW74" s="415">
        <f t="shared" si="239"/>
        <v>3750</v>
      </c>
      <c r="AX74" s="415">
        <f t="shared" si="239"/>
        <v>3750</v>
      </c>
      <c r="AY74" s="415">
        <f t="shared" si="239"/>
        <v>3750</v>
      </c>
      <c r="AZ74" s="415">
        <f t="shared" si="239"/>
        <v>3750</v>
      </c>
      <c r="BA74" s="415">
        <f t="shared" si="239"/>
        <v>3750</v>
      </c>
      <c r="BB74" s="415">
        <f t="shared" si="239"/>
        <v>3750</v>
      </c>
      <c r="BC74" s="415">
        <f t="shared" si="239"/>
        <v>3750</v>
      </c>
      <c r="BD74" s="415">
        <f t="shared" si="239"/>
        <v>3750</v>
      </c>
      <c r="BE74" s="415">
        <f t="shared" si="239"/>
        <v>3750</v>
      </c>
      <c r="BF74" s="416">
        <f t="shared" si="240"/>
        <v>45000</v>
      </c>
      <c r="BG74" s="415">
        <f t="shared" si="241"/>
        <v>3900</v>
      </c>
      <c r="BH74" s="415">
        <f t="shared" si="242"/>
        <v>3900</v>
      </c>
      <c r="BI74" s="415">
        <f t="shared" si="242"/>
        <v>3900</v>
      </c>
      <c r="BJ74" s="415">
        <f t="shared" si="242"/>
        <v>3900</v>
      </c>
      <c r="BK74" s="415">
        <f t="shared" si="242"/>
        <v>3900</v>
      </c>
      <c r="BL74" s="415">
        <f t="shared" si="242"/>
        <v>3900</v>
      </c>
      <c r="BM74" s="415">
        <f t="shared" si="242"/>
        <v>3900</v>
      </c>
      <c r="BN74" s="415">
        <f t="shared" si="242"/>
        <v>3900</v>
      </c>
      <c r="BO74" s="415">
        <f t="shared" si="242"/>
        <v>3900</v>
      </c>
      <c r="BP74" s="415">
        <f t="shared" si="242"/>
        <v>3900</v>
      </c>
      <c r="BQ74" s="415">
        <f t="shared" si="242"/>
        <v>3900</v>
      </c>
      <c r="BR74" s="415">
        <f t="shared" si="242"/>
        <v>3900</v>
      </c>
      <c r="BS74" s="416">
        <f t="shared" si="243"/>
        <v>46800</v>
      </c>
      <c r="BT74" s="415">
        <f t="shared" si="244"/>
        <v>4056</v>
      </c>
      <c r="BU74" s="415">
        <f t="shared" si="245"/>
        <v>4056</v>
      </c>
      <c r="BV74" s="415">
        <f t="shared" si="245"/>
        <v>4056</v>
      </c>
      <c r="BW74" s="415">
        <f t="shared" si="245"/>
        <v>4056</v>
      </c>
      <c r="BX74" s="415">
        <f t="shared" si="245"/>
        <v>4056</v>
      </c>
      <c r="BY74" s="415">
        <f t="shared" si="245"/>
        <v>4056</v>
      </c>
      <c r="BZ74" s="415">
        <f t="shared" si="245"/>
        <v>4056</v>
      </c>
      <c r="CA74" s="415">
        <f t="shared" si="245"/>
        <v>4056</v>
      </c>
      <c r="CB74" s="415">
        <f t="shared" si="245"/>
        <v>4056</v>
      </c>
      <c r="CC74" s="415">
        <f t="shared" si="245"/>
        <v>4056</v>
      </c>
      <c r="CD74" s="415">
        <f t="shared" si="245"/>
        <v>4056</v>
      </c>
      <c r="CE74" s="415">
        <f t="shared" si="245"/>
        <v>4056</v>
      </c>
      <c r="CF74" s="416">
        <f t="shared" si="246"/>
        <v>48672</v>
      </c>
    </row>
    <row r="75" spans="1:84">
      <c r="A75" s="408" t="s">
        <v>637</v>
      </c>
      <c r="B75" s="426"/>
      <c r="C75" s="420"/>
      <c r="D75" s="423"/>
      <c r="E75" s="427"/>
      <c r="F75" s="414"/>
      <c r="G75" s="415"/>
      <c r="H75" s="415"/>
      <c r="I75" s="415"/>
      <c r="J75" s="415"/>
      <c r="K75" s="415"/>
      <c r="L75" s="415"/>
      <c r="M75" s="415"/>
      <c r="N75" s="415"/>
      <c r="O75" s="415"/>
      <c r="P75" s="415"/>
      <c r="Q75" s="415"/>
      <c r="R75" s="415"/>
      <c r="S75" s="416"/>
      <c r="T75" s="415"/>
      <c r="U75" s="415"/>
      <c r="V75" s="415"/>
      <c r="W75" s="415"/>
      <c r="X75" s="415"/>
      <c r="Y75" s="415"/>
      <c r="Z75" s="415"/>
      <c r="AA75" s="415"/>
      <c r="AB75" s="415"/>
      <c r="AC75" s="415"/>
      <c r="AD75" s="415"/>
      <c r="AE75" s="415"/>
      <c r="AF75" s="416"/>
      <c r="AG75" s="415"/>
      <c r="AH75" s="415"/>
      <c r="AI75" s="415"/>
      <c r="AJ75" s="415"/>
      <c r="AK75" s="415"/>
      <c r="AL75" s="415"/>
      <c r="AM75" s="415"/>
      <c r="AN75" s="415"/>
      <c r="AO75" s="415"/>
      <c r="AP75" s="415"/>
      <c r="AQ75" s="415"/>
      <c r="AR75" s="415"/>
      <c r="AS75" s="416"/>
      <c r="AT75" s="415"/>
      <c r="AU75" s="415"/>
      <c r="AV75" s="415"/>
      <c r="AW75" s="415"/>
      <c r="AX75" s="415"/>
      <c r="AY75" s="415"/>
      <c r="AZ75" s="415"/>
      <c r="BA75" s="415"/>
      <c r="BB75" s="415"/>
      <c r="BC75" s="415"/>
      <c r="BD75" s="415"/>
      <c r="BE75" s="415"/>
      <c r="BF75" s="416"/>
      <c r="BG75" s="415"/>
      <c r="BH75" s="415"/>
      <c r="BI75" s="415"/>
      <c r="BJ75" s="415"/>
      <c r="BK75" s="415"/>
      <c r="BL75" s="415"/>
      <c r="BM75" s="415"/>
      <c r="BN75" s="415"/>
      <c r="BO75" s="415"/>
      <c r="BP75" s="415"/>
      <c r="BQ75" s="415"/>
      <c r="BR75" s="415"/>
      <c r="BS75" s="416"/>
      <c r="BT75" s="415"/>
      <c r="BU75" s="415"/>
      <c r="BV75" s="415"/>
      <c r="BW75" s="415"/>
      <c r="BX75" s="415"/>
      <c r="BY75" s="415"/>
      <c r="BZ75" s="415"/>
      <c r="CA75" s="415"/>
      <c r="CB75" s="415"/>
      <c r="CC75" s="415"/>
      <c r="CD75" s="415"/>
      <c r="CE75" s="415"/>
      <c r="CF75" s="416"/>
    </row>
    <row r="76" spans="1:84">
      <c r="A76" s="399"/>
      <c r="B76" s="426" t="s">
        <v>137</v>
      </c>
      <c r="C76" s="420" t="s">
        <v>638</v>
      </c>
      <c r="D76" s="423">
        <v>150000</v>
      </c>
      <c r="E76" s="427"/>
      <c r="F76" s="414" t="s">
        <v>313</v>
      </c>
      <c r="G76" s="415">
        <f t="shared" ref="G76:G80" si="249">IF($F76=$G$6,(D76/12)+(E76/12),0)</f>
        <v>0</v>
      </c>
      <c r="H76" s="415">
        <f t="shared" ref="H76:R84" si="250">G76</f>
        <v>0</v>
      </c>
      <c r="I76" s="415">
        <f t="shared" si="250"/>
        <v>0</v>
      </c>
      <c r="J76" s="415">
        <f t="shared" si="250"/>
        <v>0</v>
      </c>
      <c r="K76" s="415">
        <f t="shared" si="250"/>
        <v>0</v>
      </c>
      <c r="L76" s="415">
        <f t="shared" si="250"/>
        <v>0</v>
      </c>
      <c r="M76" s="415">
        <f t="shared" si="250"/>
        <v>0</v>
      </c>
      <c r="N76" s="415">
        <f t="shared" si="250"/>
        <v>0</v>
      </c>
      <c r="O76" s="415">
        <f t="shared" si="250"/>
        <v>0</v>
      </c>
      <c r="P76" s="415">
        <f t="shared" si="250"/>
        <v>0</v>
      </c>
      <c r="Q76" s="415">
        <f t="shared" si="250"/>
        <v>0</v>
      </c>
      <c r="R76" s="415">
        <f t="shared" si="250"/>
        <v>0</v>
      </c>
      <c r="S76" s="416">
        <f t="shared" ref="S76:S96" si="251">SUM(G76:R76)</f>
        <v>0</v>
      </c>
      <c r="T76" s="415">
        <f t="shared" ref="T76:T96" si="252">IF($F76=T$6,(($D76+$E76)*(1+$T$8))/12,R76*(1+T$8))</f>
        <v>0</v>
      </c>
      <c r="U76" s="415">
        <f t="shared" ref="U76:AE84" si="253">IF($F76=U$6,(($D76+$E76)/12),T76)</f>
        <v>0</v>
      </c>
      <c r="V76" s="415">
        <f t="shared" si="253"/>
        <v>0</v>
      </c>
      <c r="W76" s="415">
        <f t="shared" si="253"/>
        <v>0</v>
      </c>
      <c r="X76" s="415">
        <f t="shared" si="253"/>
        <v>0</v>
      </c>
      <c r="Y76" s="415">
        <f t="shared" si="253"/>
        <v>0</v>
      </c>
      <c r="Z76" s="415">
        <f t="shared" si="253"/>
        <v>0</v>
      </c>
      <c r="AA76" s="415">
        <f t="shared" si="253"/>
        <v>0</v>
      </c>
      <c r="AB76" s="415">
        <f t="shared" si="253"/>
        <v>0</v>
      </c>
      <c r="AC76" s="415">
        <f t="shared" si="253"/>
        <v>0</v>
      </c>
      <c r="AD76" s="415">
        <f t="shared" si="253"/>
        <v>0</v>
      </c>
      <c r="AE76" s="415">
        <f t="shared" si="253"/>
        <v>0</v>
      </c>
      <c r="AF76" s="416">
        <f t="shared" ref="AF76:AF96" si="254">SUM(T76:AE76)</f>
        <v>0</v>
      </c>
      <c r="AG76" s="415">
        <f t="shared" ref="AG76:AG85" si="255">IF($F76=AG$6,($D76+$E76)/12,AE76*(1+AG$8))</f>
        <v>0</v>
      </c>
      <c r="AH76" s="415">
        <f t="shared" ref="AH76:AR84" si="256">IF($F76=AH$6,(($D76+$E76)/12),AG76)</f>
        <v>0</v>
      </c>
      <c r="AI76" s="415">
        <f t="shared" si="256"/>
        <v>0</v>
      </c>
      <c r="AJ76" s="415">
        <f t="shared" si="256"/>
        <v>0</v>
      </c>
      <c r="AK76" s="415">
        <f t="shared" si="256"/>
        <v>0</v>
      </c>
      <c r="AL76" s="415">
        <f t="shared" si="256"/>
        <v>0</v>
      </c>
      <c r="AM76" s="415">
        <f t="shared" si="256"/>
        <v>12500</v>
      </c>
      <c r="AN76" s="415">
        <f t="shared" si="256"/>
        <v>12500</v>
      </c>
      <c r="AO76" s="415">
        <f t="shared" si="256"/>
        <v>12500</v>
      </c>
      <c r="AP76" s="415">
        <f t="shared" si="256"/>
        <v>12500</v>
      </c>
      <c r="AQ76" s="415">
        <f t="shared" si="256"/>
        <v>12500</v>
      </c>
      <c r="AR76" s="415">
        <f t="shared" si="256"/>
        <v>12500</v>
      </c>
      <c r="AS76" s="416">
        <f t="shared" ref="AS76:AS96" si="257">SUM(AG76:AR76)</f>
        <v>75000</v>
      </c>
      <c r="AT76" s="415">
        <f t="shared" ref="AT76:AT85" si="258">IF($F76=AT$6,($D76+$E76)/12,AR76*(1+AT$8))</f>
        <v>13000</v>
      </c>
      <c r="AU76" s="415">
        <f t="shared" ref="AU76:BE84" si="259">IF($F76=AU$6,(($D76+$E76)/12),AT76)</f>
        <v>13000</v>
      </c>
      <c r="AV76" s="415">
        <f t="shared" si="259"/>
        <v>13000</v>
      </c>
      <c r="AW76" s="415">
        <f t="shared" si="259"/>
        <v>13000</v>
      </c>
      <c r="AX76" s="415">
        <f t="shared" si="259"/>
        <v>13000</v>
      </c>
      <c r="AY76" s="415">
        <f t="shared" si="259"/>
        <v>13000</v>
      </c>
      <c r="AZ76" s="415">
        <f t="shared" si="259"/>
        <v>13000</v>
      </c>
      <c r="BA76" s="415">
        <f t="shared" si="259"/>
        <v>13000</v>
      </c>
      <c r="BB76" s="415">
        <f t="shared" si="259"/>
        <v>13000</v>
      </c>
      <c r="BC76" s="415">
        <f t="shared" si="259"/>
        <v>13000</v>
      </c>
      <c r="BD76" s="415">
        <f t="shared" si="259"/>
        <v>13000</v>
      </c>
      <c r="BE76" s="415">
        <f t="shared" si="259"/>
        <v>13000</v>
      </c>
      <c r="BF76" s="416">
        <f t="shared" ref="BF76:BF96" si="260">SUM(AT76:BE76)</f>
        <v>156000</v>
      </c>
      <c r="BG76" s="415">
        <f t="shared" ref="BG76:BG85" si="261">IF($F76=BG$6,($D76+$E76)/12,BE76*(1+BG$8))</f>
        <v>13520</v>
      </c>
      <c r="BH76" s="415">
        <f t="shared" ref="BH76:BR84" si="262">IF($F76=BH$6,(($D76+$E76)/12),BG76)</f>
        <v>13520</v>
      </c>
      <c r="BI76" s="415">
        <f t="shared" si="262"/>
        <v>13520</v>
      </c>
      <c r="BJ76" s="415">
        <f t="shared" si="262"/>
        <v>13520</v>
      </c>
      <c r="BK76" s="415">
        <f t="shared" si="262"/>
        <v>13520</v>
      </c>
      <c r="BL76" s="415">
        <f t="shared" si="262"/>
        <v>13520</v>
      </c>
      <c r="BM76" s="415">
        <f t="shared" si="262"/>
        <v>13520</v>
      </c>
      <c r="BN76" s="415">
        <f t="shared" si="262"/>
        <v>13520</v>
      </c>
      <c r="BO76" s="415">
        <f t="shared" si="262"/>
        <v>13520</v>
      </c>
      <c r="BP76" s="415">
        <f t="shared" si="262"/>
        <v>13520</v>
      </c>
      <c r="BQ76" s="415">
        <f t="shared" si="262"/>
        <v>13520</v>
      </c>
      <c r="BR76" s="415">
        <f t="shared" si="262"/>
        <v>13520</v>
      </c>
      <c r="BS76" s="416">
        <f t="shared" ref="BS76:BS96" si="263">SUM(BG76:BR76)</f>
        <v>162240</v>
      </c>
      <c r="BT76" s="415">
        <f t="shared" ref="BT76:BT85" si="264">IF($F76=BT$6,($D76+$E76)/12,BR76*(1+BT$8))</f>
        <v>14060.800000000001</v>
      </c>
      <c r="BU76" s="415">
        <f t="shared" ref="BU76:CE84" si="265">IF($F76=BU$6,(($D76+$E76)/12),BT76)</f>
        <v>14060.800000000001</v>
      </c>
      <c r="BV76" s="415">
        <f t="shared" si="265"/>
        <v>14060.800000000001</v>
      </c>
      <c r="BW76" s="415">
        <f t="shared" si="265"/>
        <v>14060.800000000001</v>
      </c>
      <c r="BX76" s="415">
        <f t="shared" si="265"/>
        <v>14060.800000000001</v>
      </c>
      <c r="BY76" s="415">
        <f t="shared" si="265"/>
        <v>14060.800000000001</v>
      </c>
      <c r="BZ76" s="415">
        <f t="shared" si="265"/>
        <v>14060.800000000001</v>
      </c>
      <c r="CA76" s="415">
        <f t="shared" si="265"/>
        <v>14060.800000000001</v>
      </c>
      <c r="CB76" s="415">
        <f t="shared" si="265"/>
        <v>14060.800000000001</v>
      </c>
      <c r="CC76" s="415">
        <f t="shared" si="265"/>
        <v>14060.800000000001</v>
      </c>
      <c r="CD76" s="415">
        <f t="shared" si="265"/>
        <v>14060.800000000001</v>
      </c>
      <c r="CE76" s="415">
        <f t="shared" si="265"/>
        <v>14060.800000000001</v>
      </c>
      <c r="CF76" s="416">
        <f t="shared" ref="CF76:CF96" si="266">SUM(BT76:CE76)</f>
        <v>168729.59999999998</v>
      </c>
    </row>
    <row r="77" spans="1:84">
      <c r="A77" s="399"/>
      <c r="B77" s="426" t="s">
        <v>137</v>
      </c>
      <c r="C77" s="534" t="s">
        <v>788</v>
      </c>
      <c r="D77" s="423">
        <v>60000</v>
      </c>
      <c r="E77" s="427"/>
      <c r="F77" s="414" t="s">
        <v>319</v>
      </c>
      <c r="G77" s="415">
        <f t="shared" si="249"/>
        <v>0</v>
      </c>
      <c r="H77" s="415">
        <f t="shared" si="250"/>
        <v>0</v>
      </c>
      <c r="I77" s="415">
        <f t="shared" si="250"/>
        <v>0</v>
      </c>
      <c r="J77" s="415">
        <f t="shared" si="250"/>
        <v>0</v>
      </c>
      <c r="K77" s="415">
        <f t="shared" si="250"/>
        <v>0</v>
      </c>
      <c r="L77" s="415">
        <f t="shared" si="250"/>
        <v>0</v>
      </c>
      <c r="M77" s="415">
        <f t="shared" si="250"/>
        <v>0</v>
      </c>
      <c r="N77" s="415">
        <f t="shared" si="250"/>
        <v>0</v>
      </c>
      <c r="O77" s="415">
        <f t="shared" si="250"/>
        <v>0</v>
      </c>
      <c r="P77" s="415">
        <f t="shared" si="250"/>
        <v>0</v>
      </c>
      <c r="Q77" s="415">
        <f t="shared" si="250"/>
        <v>0</v>
      </c>
      <c r="R77" s="415">
        <f t="shared" si="250"/>
        <v>0</v>
      </c>
      <c r="S77" s="416">
        <f t="shared" si="251"/>
        <v>0</v>
      </c>
      <c r="T77" s="415">
        <f t="shared" si="252"/>
        <v>0</v>
      </c>
      <c r="U77" s="415">
        <f t="shared" si="253"/>
        <v>0</v>
      </c>
      <c r="V77" s="415">
        <f t="shared" si="253"/>
        <v>0</v>
      </c>
      <c r="W77" s="415">
        <f t="shared" si="253"/>
        <v>0</v>
      </c>
      <c r="X77" s="415">
        <f t="shared" si="253"/>
        <v>0</v>
      </c>
      <c r="Y77" s="415">
        <f t="shared" si="253"/>
        <v>0</v>
      </c>
      <c r="Z77" s="415">
        <f t="shared" si="253"/>
        <v>0</v>
      </c>
      <c r="AA77" s="415">
        <f t="shared" si="253"/>
        <v>0</v>
      </c>
      <c r="AB77" s="415">
        <f t="shared" si="253"/>
        <v>0</v>
      </c>
      <c r="AC77" s="415">
        <f t="shared" si="253"/>
        <v>0</v>
      </c>
      <c r="AD77" s="415">
        <f t="shared" si="253"/>
        <v>0</v>
      </c>
      <c r="AE77" s="415">
        <f t="shared" si="253"/>
        <v>0</v>
      </c>
      <c r="AF77" s="416">
        <f t="shared" si="254"/>
        <v>0</v>
      </c>
      <c r="AG77" s="415">
        <f t="shared" si="255"/>
        <v>0</v>
      </c>
      <c r="AH77" s="415">
        <f t="shared" si="256"/>
        <v>0</v>
      </c>
      <c r="AI77" s="415">
        <f t="shared" si="256"/>
        <v>0</v>
      </c>
      <c r="AJ77" s="415">
        <f t="shared" si="256"/>
        <v>0</v>
      </c>
      <c r="AK77" s="415">
        <f t="shared" si="256"/>
        <v>0</v>
      </c>
      <c r="AL77" s="415">
        <f t="shared" si="256"/>
        <v>0</v>
      </c>
      <c r="AM77" s="415">
        <f t="shared" si="256"/>
        <v>0</v>
      </c>
      <c r="AN77" s="415">
        <f t="shared" si="256"/>
        <v>0</v>
      </c>
      <c r="AO77" s="415">
        <f t="shared" si="256"/>
        <v>0</v>
      </c>
      <c r="AP77" s="415">
        <f t="shared" si="256"/>
        <v>0</v>
      </c>
      <c r="AQ77" s="415">
        <f t="shared" si="256"/>
        <v>0</v>
      </c>
      <c r="AR77" s="415">
        <f t="shared" si="256"/>
        <v>0</v>
      </c>
      <c r="AS77" s="416">
        <f t="shared" si="257"/>
        <v>0</v>
      </c>
      <c r="AT77" s="415">
        <f t="shared" si="258"/>
        <v>5000</v>
      </c>
      <c r="AU77" s="415">
        <f t="shared" si="259"/>
        <v>5000</v>
      </c>
      <c r="AV77" s="415">
        <f t="shared" si="259"/>
        <v>5000</v>
      </c>
      <c r="AW77" s="415">
        <f t="shared" si="259"/>
        <v>5000</v>
      </c>
      <c r="AX77" s="415">
        <f t="shared" si="259"/>
        <v>5000</v>
      </c>
      <c r="AY77" s="415">
        <f t="shared" si="259"/>
        <v>5000</v>
      </c>
      <c r="AZ77" s="415">
        <f t="shared" si="259"/>
        <v>5000</v>
      </c>
      <c r="BA77" s="415">
        <f t="shared" si="259"/>
        <v>5000</v>
      </c>
      <c r="BB77" s="415">
        <f t="shared" si="259"/>
        <v>5000</v>
      </c>
      <c r="BC77" s="415">
        <f t="shared" si="259"/>
        <v>5000</v>
      </c>
      <c r="BD77" s="415">
        <f t="shared" si="259"/>
        <v>5000</v>
      </c>
      <c r="BE77" s="415">
        <f t="shared" si="259"/>
        <v>5000</v>
      </c>
      <c r="BF77" s="416">
        <f t="shared" si="260"/>
        <v>60000</v>
      </c>
      <c r="BG77" s="415">
        <f t="shared" si="261"/>
        <v>5200</v>
      </c>
      <c r="BH77" s="415">
        <f t="shared" si="262"/>
        <v>5200</v>
      </c>
      <c r="BI77" s="415">
        <f t="shared" si="262"/>
        <v>5200</v>
      </c>
      <c r="BJ77" s="415">
        <f t="shared" si="262"/>
        <v>5200</v>
      </c>
      <c r="BK77" s="415">
        <f t="shared" si="262"/>
        <v>5200</v>
      </c>
      <c r="BL77" s="415">
        <f t="shared" si="262"/>
        <v>5200</v>
      </c>
      <c r="BM77" s="415">
        <f t="shared" si="262"/>
        <v>5200</v>
      </c>
      <c r="BN77" s="415">
        <f t="shared" si="262"/>
        <v>5200</v>
      </c>
      <c r="BO77" s="415">
        <f t="shared" si="262"/>
        <v>5200</v>
      </c>
      <c r="BP77" s="415">
        <f t="shared" si="262"/>
        <v>5200</v>
      </c>
      <c r="BQ77" s="415">
        <f t="shared" si="262"/>
        <v>5200</v>
      </c>
      <c r="BR77" s="415">
        <f t="shared" si="262"/>
        <v>5200</v>
      </c>
      <c r="BS77" s="416">
        <f t="shared" si="263"/>
        <v>62400</v>
      </c>
      <c r="BT77" s="415">
        <f t="shared" si="264"/>
        <v>5408</v>
      </c>
      <c r="BU77" s="415">
        <f t="shared" si="265"/>
        <v>5408</v>
      </c>
      <c r="BV77" s="415">
        <f t="shared" si="265"/>
        <v>5408</v>
      </c>
      <c r="BW77" s="415">
        <f t="shared" si="265"/>
        <v>5408</v>
      </c>
      <c r="BX77" s="415">
        <f t="shared" si="265"/>
        <v>5408</v>
      </c>
      <c r="BY77" s="415">
        <f t="shared" si="265"/>
        <v>5408</v>
      </c>
      <c r="BZ77" s="415">
        <f t="shared" si="265"/>
        <v>5408</v>
      </c>
      <c r="CA77" s="415">
        <f t="shared" si="265"/>
        <v>5408</v>
      </c>
      <c r="CB77" s="415">
        <f t="shared" si="265"/>
        <v>5408</v>
      </c>
      <c r="CC77" s="415">
        <f t="shared" si="265"/>
        <v>5408</v>
      </c>
      <c r="CD77" s="415">
        <f t="shared" si="265"/>
        <v>5408</v>
      </c>
      <c r="CE77" s="415">
        <f t="shared" si="265"/>
        <v>5408</v>
      </c>
      <c r="CF77" s="416">
        <f t="shared" si="266"/>
        <v>64896</v>
      </c>
    </row>
    <row r="78" spans="1:84">
      <c r="A78" s="399"/>
      <c r="B78" s="426" t="s">
        <v>137</v>
      </c>
      <c r="C78" s="420" t="s">
        <v>639</v>
      </c>
      <c r="D78" s="423">
        <v>120000</v>
      </c>
      <c r="E78" s="427"/>
      <c r="F78" s="414" t="s">
        <v>319</v>
      </c>
      <c r="G78" s="415">
        <f t="shared" si="249"/>
        <v>0</v>
      </c>
      <c r="H78" s="415">
        <f t="shared" si="250"/>
        <v>0</v>
      </c>
      <c r="I78" s="415">
        <f t="shared" si="250"/>
        <v>0</v>
      </c>
      <c r="J78" s="415">
        <f t="shared" si="250"/>
        <v>0</v>
      </c>
      <c r="K78" s="415">
        <f t="shared" si="250"/>
        <v>0</v>
      </c>
      <c r="L78" s="415">
        <f t="shared" si="250"/>
        <v>0</v>
      </c>
      <c r="M78" s="415">
        <f t="shared" si="250"/>
        <v>0</v>
      </c>
      <c r="N78" s="415">
        <f t="shared" si="250"/>
        <v>0</v>
      </c>
      <c r="O78" s="415">
        <f t="shared" si="250"/>
        <v>0</v>
      </c>
      <c r="P78" s="415">
        <f t="shared" si="250"/>
        <v>0</v>
      </c>
      <c r="Q78" s="415">
        <f t="shared" si="250"/>
        <v>0</v>
      </c>
      <c r="R78" s="415">
        <f t="shared" si="250"/>
        <v>0</v>
      </c>
      <c r="S78" s="416">
        <f t="shared" si="251"/>
        <v>0</v>
      </c>
      <c r="T78" s="415">
        <f t="shared" si="252"/>
        <v>0</v>
      </c>
      <c r="U78" s="415">
        <f t="shared" si="253"/>
        <v>0</v>
      </c>
      <c r="V78" s="415">
        <f t="shared" si="253"/>
        <v>0</v>
      </c>
      <c r="W78" s="415">
        <f t="shared" si="253"/>
        <v>0</v>
      </c>
      <c r="X78" s="415">
        <f t="shared" si="253"/>
        <v>0</v>
      </c>
      <c r="Y78" s="415">
        <f t="shared" si="253"/>
        <v>0</v>
      </c>
      <c r="Z78" s="415">
        <f t="shared" si="253"/>
        <v>0</v>
      </c>
      <c r="AA78" s="415">
        <f t="shared" si="253"/>
        <v>0</v>
      </c>
      <c r="AB78" s="415">
        <f t="shared" si="253"/>
        <v>0</v>
      </c>
      <c r="AC78" s="415">
        <f t="shared" si="253"/>
        <v>0</v>
      </c>
      <c r="AD78" s="415">
        <f t="shared" si="253"/>
        <v>0</v>
      </c>
      <c r="AE78" s="415">
        <f t="shared" si="253"/>
        <v>0</v>
      </c>
      <c r="AF78" s="416">
        <f t="shared" si="254"/>
        <v>0</v>
      </c>
      <c r="AG78" s="415">
        <f t="shared" si="255"/>
        <v>0</v>
      </c>
      <c r="AH78" s="415">
        <f t="shared" si="256"/>
        <v>0</v>
      </c>
      <c r="AI78" s="415">
        <f t="shared" si="256"/>
        <v>0</v>
      </c>
      <c r="AJ78" s="415">
        <f t="shared" si="256"/>
        <v>0</v>
      </c>
      <c r="AK78" s="415">
        <f t="shared" si="256"/>
        <v>0</v>
      </c>
      <c r="AL78" s="415">
        <f t="shared" si="256"/>
        <v>0</v>
      </c>
      <c r="AM78" s="415">
        <f t="shared" si="256"/>
        <v>0</v>
      </c>
      <c r="AN78" s="415">
        <f t="shared" si="256"/>
        <v>0</v>
      </c>
      <c r="AO78" s="415">
        <f t="shared" si="256"/>
        <v>0</v>
      </c>
      <c r="AP78" s="415">
        <f t="shared" si="256"/>
        <v>0</v>
      </c>
      <c r="AQ78" s="415">
        <f t="shared" si="256"/>
        <v>0</v>
      </c>
      <c r="AR78" s="415">
        <f t="shared" si="256"/>
        <v>0</v>
      </c>
      <c r="AS78" s="416">
        <f t="shared" si="257"/>
        <v>0</v>
      </c>
      <c r="AT78" s="415">
        <f t="shared" si="258"/>
        <v>10000</v>
      </c>
      <c r="AU78" s="415">
        <f t="shared" si="259"/>
        <v>10000</v>
      </c>
      <c r="AV78" s="415">
        <f t="shared" si="259"/>
        <v>10000</v>
      </c>
      <c r="AW78" s="415">
        <f t="shared" si="259"/>
        <v>10000</v>
      </c>
      <c r="AX78" s="415">
        <f t="shared" si="259"/>
        <v>10000</v>
      </c>
      <c r="AY78" s="415">
        <f t="shared" si="259"/>
        <v>10000</v>
      </c>
      <c r="AZ78" s="415">
        <f t="shared" si="259"/>
        <v>10000</v>
      </c>
      <c r="BA78" s="415">
        <f t="shared" si="259"/>
        <v>10000</v>
      </c>
      <c r="BB78" s="415">
        <f t="shared" si="259"/>
        <v>10000</v>
      </c>
      <c r="BC78" s="415">
        <f t="shared" si="259"/>
        <v>10000</v>
      </c>
      <c r="BD78" s="415">
        <f t="shared" si="259"/>
        <v>10000</v>
      </c>
      <c r="BE78" s="415">
        <f t="shared" si="259"/>
        <v>10000</v>
      </c>
      <c r="BF78" s="416">
        <f t="shared" si="260"/>
        <v>120000</v>
      </c>
      <c r="BG78" s="415">
        <f t="shared" si="261"/>
        <v>10400</v>
      </c>
      <c r="BH78" s="415">
        <f t="shared" si="262"/>
        <v>10400</v>
      </c>
      <c r="BI78" s="415">
        <f t="shared" si="262"/>
        <v>10400</v>
      </c>
      <c r="BJ78" s="415">
        <f t="shared" si="262"/>
        <v>10400</v>
      </c>
      <c r="BK78" s="415">
        <f t="shared" si="262"/>
        <v>10400</v>
      </c>
      <c r="BL78" s="415">
        <f t="shared" si="262"/>
        <v>10400</v>
      </c>
      <c r="BM78" s="415">
        <f t="shared" si="262"/>
        <v>10400</v>
      </c>
      <c r="BN78" s="415">
        <f t="shared" si="262"/>
        <v>10400</v>
      </c>
      <c r="BO78" s="415">
        <f t="shared" si="262"/>
        <v>10400</v>
      </c>
      <c r="BP78" s="415">
        <f t="shared" si="262"/>
        <v>10400</v>
      </c>
      <c r="BQ78" s="415">
        <f t="shared" si="262"/>
        <v>10400</v>
      </c>
      <c r="BR78" s="415">
        <f t="shared" si="262"/>
        <v>10400</v>
      </c>
      <c r="BS78" s="416">
        <f t="shared" si="263"/>
        <v>124800</v>
      </c>
      <c r="BT78" s="415">
        <f t="shared" si="264"/>
        <v>10816</v>
      </c>
      <c r="BU78" s="415">
        <f t="shared" si="265"/>
        <v>10816</v>
      </c>
      <c r="BV78" s="415">
        <f t="shared" si="265"/>
        <v>10816</v>
      </c>
      <c r="BW78" s="415">
        <f t="shared" si="265"/>
        <v>10816</v>
      </c>
      <c r="BX78" s="415">
        <f t="shared" si="265"/>
        <v>10816</v>
      </c>
      <c r="BY78" s="415">
        <f t="shared" si="265"/>
        <v>10816</v>
      </c>
      <c r="BZ78" s="415">
        <f t="shared" si="265"/>
        <v>10816</v>
      </c>
      <c r="CA78" s="415">
        <f t="shared" si="265"/>
        <v>10816</v>
      </c>
      <c r="CB78" s="415">
        <f t="shared" si="265"/>
        <v>10816</v>
      </c>
      <c r="CC78" s="415">
        <f t="shared" si="265"/>
        <v>10816</v>
      </c>
      <c r="CD78" s="415">
        <f t="shared" si="265"/>
        <v>10816</v>
      </c>
      <c r="CE78" s="415">
        <f t="shared" si="265"/>
        <v>10816</v>
      </c>
      <c r="CF78" s="416">
        <f t="shared" si="266"/>
        <v>129792</v>
      </c>
    </row>
    <row r="79" spans="1:84">
      <c r="A79" s="399"/>
      <c r="B79" s="426" t="s">
        <v>137</v>
      </c>
      <c r="C79" s="420" t="s">
        <v>640</v>
      </c>
      <c r="D79" s="423">
        <v>100000</v>
      </c>
      <c r="E79" s="427"/>
      <c r="F79" s="414" t="s">
        <v>319</v>
      </c>
      <c r="G79" s="415">
        <f t="shared" si="249"/>
        <v>0</v>
      </c>
      <c r="H79" s="415">
        <f t="shared" si="250"/>
        <v>0</v>
      </c>
      <c r="I79" s="415">
        <f t="shared" si="250"/>
        <v>0</v>
      </c>
      <c r="J79" s="415">
        <f t="shared" si="250"/>
        <v>0</v>
      </c>
      <c r="K79" s="415">
        <f t="shared" si="250"/>
        <v>0</v>
      </c>
      <c r="L79" s="415">
        <f t="shared" si="250"/>
        <v>0</v>
      </c>
      <c r="M79" s="415">
        <f t="shared" si="250"/>
        <v>0</v>
      </c>
      <c r="N79" s="415">
        <f t="shared" si="250"/>
        <v>0</v>
      </c>
      <c r="O79" s="415">
        <f t="shared" si="250"/>
        <v>0</v>
      </c>
      <c r="P79" s="415">
        <f t="shared" si="250"/>
        <v>0</v>
      </c>
      <c r="Q79" s="415">
        <f t="shared" si="250"/>
        <v>0</v>
      </c>
      <c r="R79" s="415">
        <f t="shared" si="250"/>
        <v>0</v>
      </c>
      <c r="S79" s="416">
        <f t="shared" si="251"/>
        <v>0</v>
      </c>
      <c r="T79" s="415">
        <f t="shared" si="252"/>
        <v>0</v>
      </c>
      <c r="U79" s="415">
        <f t="shared" si="253"/>
        <v>0</v>
      </c>
      <c r="V79" s="415">
        <f t="shared" si="253"/>
        <v>0</v>
      </c>
      <c r="W79" s="415">
        <f t="shared" si="253"/>
        <v>0</v>
      </c>
      <c r="X79" s="415">
        <f t="shared" si="253"/>
        <v>0</v>
      </c>
      <c r="Y79" s="415">
        <f t="shared" si="253"/>
        <v>0</v>
      </c>
      <c r="Z79" s="415">
        <f t="shared" si="253"/>
        <v>0</v>
      </c>
      <c r="AA79" s="415">
        <f t="shared" si="253"/>
        <v>0</v>
      </c>
      <c r="AB79" s="415">
        <f t="shared" si="253"/>
        <v>0</v>
      </c>
      <c r="AC79" s="415">
        <f t="shared" si="253"/>
        <v>0</v>
      </c>
      <c r="AD79" s="415">
        <f t="shared" si="253"/>
        <v>0</v>
      </c>
      <c r="AE79" s="415">
        <f t="shared" si="253"/>
        <v>0</v>
      </c>
      <c r="AF79" s="416">
        <f t="shared" si="254"/>
        <v>0</v>
      </c>
      <c r="AG79" s="415">
        <f t="shared" si="255"/>
        <v>0</v>
      </c>
      <c r="AH79" s="415">
        <f t="shared" si="256"/>
        <v>0</v>
      </c>
      <c r="AI79" s="415">
        <f t="shared" si="256"/>
        <v>0</v>
      </c>
      <c r="AJ79" s="415">
        <f t="shared" si="256"/>
        <v>0</v>
      </c>
      <c r="AK79" s="415">
        <f t="shared" si="256"/>
        <v>0</v>
      </c>
      <c r="AL79" s="415">
        <f t="shared" si="256"/>
        <v>0</v>
      </c>
      <c r="AM79" s="415">
        <f t="shared" si="256"/>
        <v>0</v>
      </c>
      <c r="AN79" s="415">
        <f t="shared" si="256"/>
        <v>0</v>
      </c>
      <c r="AO79" s="415">
        <f t="shared" si="256"/>
        <v>0</v>
      </c>
      <c r="AP79" s="415">
        <f t="shared" si="256"/>
        <v>0</v>
      </c>
      <c r="AQ79" s="415">
        <f t="shared" si="256"/>
        <v>0</v>
      </c>
      <c r="AR79" s="415">
        <f t="shared" si="256"/>
        <v>0</v>
      </c>
      <c r="AS79" s="416">
        <f t="shared" si="257"/>
        <v>0</v>
      </c>
      <c r="AT79" s="415">
        <f t="shared" si="258"/>
        <v>8333.3333333333339</v>
      </c>
      <c r="AU79" s="415">
        <f t="shared" si="259"/>
        <v>8333.3333333333339</v>
      </c>
      <c r="AV79" s="415">
        <f t="shared" si="259"/>
        <v>8333.3333333333339</v>
      </c>
      <c r="AW79" s="415">
        <f t="shared" si="259"/>
        <v>8333.3333333333339</v>
      </c>
      <c r="AX79" s="415">
        <f t="shared" si="259"/>
        <v>8333.3333333333339</v>
      </c>
      <c r="AY79" s="415">
        <f t="shared" si="259"/>
        <v>8333.3333333333339</v>
      </c>
      <c r="AZ79" s="415">
        <f t="shared" si="259"/>
        <v>8333.3333333333339</v>
      </c>
      <c r="BA79" s="415">
        <f t="shared" si="259"/>
        <v>8333.3333333333339</v>
      </c>
      <c r="BB79" s="415">
        <f t="shared" si="259"/>
        <v>8333.3333333333339</v>
      </c>
      <c r="BC79" s="415">
        <f t="shared" si="259"/>
        <v>8333.3333333333339</v>
      </c>
      <c r="BD79" s="415">
        <f t="shared" si="259"/>
        <v>8333.3333333333339</v>
      </c>
      <c r="BE79" s="415">
        <f t="shared" si="259"/>
        <v>8333.3333333333339</v>
      </c>
      <c r="BF79" s="416">
        <f t="shared" si="260"/>
        <v>99999.999999999985</v>
      </c>
      <c r="BG79" s="415">
        <f t="shared" si="261"/>
        <v>8666.6666666666679</v>
      </c>
      <c r="BH79" s="415">
        <f t="shared" si="262"/>
        <v>8666.6666666666679</v>
      </c>
      <c r="BI79" s="415">
        <f t="shared" si="262"/>
        <v>8666.6666666666679</v>
      </c>
      <c r="BJ79" s="415">
        <f t="shared" si="262"/>
        <v>8666.6666666666679</v>
      </c>
      <c r="BK79" s="415">
        <f t="shared" si="262"/>
        <v>8666.6666666666679</v>
      </c>
      <c r="BL79" s="415">
        <f t="shared" si="262"/>
        <v>8666.6666666666679</v>
      </c>
      <c r="BM79" s="415">
        <f t="shared" si="262"/>
        <v>8666.6666666666679</v>
      </c>
      <c r="BN79" s="415">
        <f t="shared" si="262"/>
        <v>8666.6666666666679</v>
      </c>
      <c r="BO79" s="415">
        <f t="shared" si="262"/>
        <v>8666.6666666666679</v>
      </c>
      <c r="BP79" s="415">
        <f t="shared" si="262"/>
        <v>8666.6666666666679</v>
      </c>
      <c r="BQ79" s="415">
        <f t="shared" si="262"/>
        <v>8666.6666666666679</v>
      </c>
      <c r="BR79" s="415">
        <f t="shared" si="262"/>
        <v>8666.6666666666679</v>
      </c>
      <c r="BS79" s="416">
        <f t="shared" si="263"/>
        <v>104000.00000000004</v>
      </c>
      <c r="BT79" s="415">
        <f t="shared" si="264"/>
        <v>9013.3333333333358</v>
      </c>
      <c r="BU79" s="415">
        <f t="shared" si="265"/>
        <v>9013.3333333333358</v>
      </c>
      <c r="BV79" s="415">
        <f t="shared" si="265"/>
        <v>9013.3333333333358</v>
      </c>
      <c r="BW79" s="415">
        <f t="shared" si="265"/>
        <v>9013.3333333333358</v>
      </c>
      <c r="BX79" s="415">
        <f t="shared" si="265"/>
        <v>9013.3333333333358</v>
      </c>
      <c r="BY79" s="415">
        <f t="shared" si="265"/>
        <v>9013.3333333333358</v>
      </c>
      <c r="BZ79" s="415">
        <f t="shared" si="265"/>
        <v>9013.3333333333358</v>
      </c>
      <c r="CA79" s="415">
        <f t="shared" si="265"/>
        <v>9013.3333333333358</v>
      </c>
      <c r="CB79" s="415">
        <f t="shared" si="265"/>
        <v>9013.3333333333358</v>
      </c>
      <c r="CC79" s="415">
        <f t="shared" si="265"/>
        <v>9013.3333333333358</v>
      </c>
      <c r="CD79" s="415">
        <f t="shared" si="265"/>
        <v>9013.3333333333358</v>
      </c>
      <c r="CE79" s="415">
        <f t="shared" si="265"/>
        <v>9013.3333333333358</v>
      </c>
      <c r="CF79" s="416">
        <f t="shared" si="266"/>
        <v>108160.00000000006</v>
      </c>
    </row>
    <row r="80" spans="1:84">
      <c r="A80" s="399"/>
      <c r="B80" s="426" t="s">
        <v>137</v>
      </c>
      <c r="C80" s="420" t="s">
        <v>640</v>
      </c>
      <c r="D80" s="423">
        <v>100000</v>
      </c>
      <c r="E80" s="427"/>
      <c r="F80" s="414" t="s">
        <v>319</v>
      </c>
      <c r="G80" s="415">
        <f t="shared" si="249"/>
        <v>0</v>
      </c>
      <c r="H80" s="415">
        <f t="shared" si="250"/>
        <v>0</v>
      </c>
      <c r="I80" s="415">
        <f t="shared" si="250"/>
        <v>0</v>
      </c>
      <c r="J80" s="415">
        <f t="shared" si="250"/>
        <v>0</v>
      </c>
      <c r="K80" s="415">
        <f t="shared" si="250"/>
        <v>0</v>
      </c>
      <c r="L80" s="415">
        <f t="shared" si="250"/>
        <v>0</v>
      </c>
      <c r="M80" s="415">
        <f t="shared" si="250"/>
        <v>0</v>
      </c>
      <c r="N80" s="415">
        <f t="shared" si="250"/>
        <v>0</v>
      </c>
      <c r="O80" s="415">
        <f t="shared" si="250"/>
        <v>0</v>
      </c>
      <c r="P80" s="415">
        <f t="shared" si="250"/>
        <v>0</v>
      </c>
      <c r="Q80" s="415">
        <f t="shared" si="250"/>
        <v>0</v>
      </c>
      <c r="R80" s="415">
        <f t="shared" si="250"/>
        <v>0</v>
      </c>
      <c r="S80" s="416">
        <f t="shared" si="251"/>
        <v>0</v>
      </c>
      <c r="T80" s="415">
        <f t="shared" si="252"/>
        <v>0</v>
      </c>
      <c r="U80" s="415">
        <f t="shared" si="253"/>
        <v>0</v>
      </c>
      <c r="V80" s="415">
        <f t="shared" si="253"/>
        <v>0</v>
      </c>
      <c r="W80" s="415">
        <f t="shared" si="253"/>
        <v>0</v>
      </c>
      <c r="X80" s="415">
        <f t="shared" si="253"/>
        <v>0</v>
      </c>
      <c r="Y80" s="415">
        <f t="shared" si="253"/>
        <v>0</v>
      </c>
      <c r="Z80" s="415">
        <f t="shared" si="253"/>
        <v>0</v>
      </c>
      <c r="AA80" s="415">
        <f t="shared" si="253"/>
        <v>0</v>
      </c>
      <c r="AB80" s="415">
        <f t="shared" si="253"/>
        <v>0</v>
      </c>
      <c r="AC80" s="415">
        <f t="shared" si="253"/>
        <v>0</v>
      </c>
      <c r="AD80" s="415">
        <f t="shared" si="253"/>
        <v>0</v>
      </c>
      <c r="AE80" s="415">
        <f t="shared" si="253"/>
        <v>0</v>
      </c>
      <c r="AF80" s="416">
        <f t="shared" si="254"/>
        <v>0</v>
      </c>
      <c r="AG80" s="415">
        <f t="shared" si="255"/>
        <v>0</v>
      </c>
      <c r="AH80" s="415">
        <f t="shared" si="256"/>
        <v>0</v>
      </c>
      <c r="AI80" s="415">
        <f t="shared" si="256"/>
        <v>0</v>
      </c>
      <c r="AJ80" s="415">
        <f t="shared" si="256"/>
        <v>0</v>
      </c>
      <c r="AK80" s="415">
        <f t="shared" si="256"/>
        <v>0</v>
      </c>
      <c r="AL80" s="415">
        <f t="shared" si="256"/>
        <v>0</v>
      </c>
      <c r="AM80" s="415">
        <f t="shared" si="256"/>
        <v>0</v>
      </c>
      <c r="AN80" s="415">
        <f t="shared" si="256"/>
        <v>0</v>
      </c>
      <c r="AO80" s="415">
        <f t="shared" si="256"/>
        <v>0</v>
      </c>
      <c r="AP80" s="415">
        <f t="shared" si="256"/>
        <v>0</v>
      </c>
      <c r="AQ80" s="415">
        <f t="shared" si="256"/>
        <v>0</v>
      </c>
      <c r="AR80" s="415">
        <f t="shared" si="256"/>
        <v>0</v>
      </c>
      <c r="AS80" s="416">
        <f t="shared" si="257"/>
        <v>0</v>
      </c>
      <c r="AT80" s="415">
        <f t="shared" si="258"/>
        <v>8333.3333333333339</v>
      </c>
      <c r="AU80" s="415">
        <f t="shared" si="259"/>
        <v>8333.3333333333339</v>
      </c>
      <c r="AV80" s="415">
        <f t="shared" si="259"/>
        <v>8333.3333333333339</v>
      </c>
      <c r="AW80" s="415">
        <f t="shared" si="259"/>
        <v>8333.3333333333339</v>
      </c>
      <c r="AX80" s="415">
        <f t="shared" si="259"/>
        <v>8333.3333333333339</v>
      </c>
      <c r="AY80" s="415">
        <f t="shared" si="259"/>
        <v>8333.3333333333339</v>
      </c>
      <c r="AZ80" s="415">
        <f t="shared" si="259"/>
        <v>8333.3333333333339</v>
      </c>
      <c r="BA80" s="415">
        <f t="shared" si="259"/>
        <v>8333.3333333333339</v>
      </c>
      <c r="BB80" s="415">
        <f t="shared" si="259"/>
        <v>8333.3333333333339</v>
      </c>
      <c r="BC80" s="415">
        <f t="shared" si="259"/>
        <v>8333.3333333333339</v>
      </c>
      <c r="BD80" s="415">
        <f t="shared" si="259"/>
        <v>8333.3333333333339</v>
      </c>
      <c r="BE80" s="415">
        <f t="shared" si="259"/>
        <v>8333.3333333333339</v>
      </c>
      <c r="BF80" s="416">
        <f t="shared" si="260"/>
        <v>99999.999999999985</v>
      </c>
      <c r="BG80" s="415">
        <f t="shared" si="261"/>
        <v>8666.6666666666679</v>
      </c>
      <c r="BH80" s="415">
        <f t="shared" si="262"/>
        <v>8666.6666666666679</v>
      </c>
      <c r="BI80" s="415">
        <f t="shared" si="262"/>
        <v>8666.6666666666679</v>
      </c>
      <c r="BJ80" s="415">
        <f t="shared" si="262"/>
        <v>8666.6666666666679</v>
      </c>
      <c r="BK80" s="415">
        <f t="shared" si="262"/>
        <v>8666.6666666666679</v>
      </c>
      <c r="BL80" s="415">
        <f t="shared" si="262"/>
        <v>8666.6666666666679</v>
      </c>
      <c r="BM80" s="415">
        <f t="shared" si="262"/>
        <v>8666.6666666666679</v>
      </c>
      <c r="BN80" s="415">
        <f t="shared" si="262"/>
        <v>8666.6666666666679</v>
      </c>
      <c r="BO80" s="415">
        <f t="shared" si="262"/>
        <v>8666.6666666666679</v>
      </c>
      <c r="BP80" s="415">
        <f t="shared" si="262"/>
        <v>8666.6666666666679</v>
      </c>
      <c r="BQ80" s="415">
        <f t="shared" si="262"/>
        <v>8666.6666666666679</v>
      </c>
      <c r="BR80" s="415">
        <f t="shared" si="262"/>
        <v>8666.6666666666679</v>
      </c>
      <c r="BS80" s="416">
        <f t="shared" si="263"/>
        <v>104000.00000000004</v>
      </c>
      <c r="BT80" s="415">
        <f t="shared" si="264"/>
        <v>9013.3333333333358</v>
      </c>
      <c r="BU80" s="415">
        <f t="shared" si="265"/>
        <v>9013.3333333333358</v>
      </c>
      <c r="BV80" s="415">
        <f t="shared" si="265"/>
        <v>9013.3333333333358</v>
      </c>
      <c r="BW80" s="415">
        <f t="shared" si="265"/>
        <v>9013.3333333333358</v>
      </c>
      <c r="BX80" s="415">
        <f t="shared" si="265"/>
        <v>9013.3333333333358</v>
      </c>
      <c r="BY80" s="415">
        <f t="shared" si="265"/>
        <v>9013.3333333333358</v>
      </c>
      <c r="BZ80" s="415">
        <f t="shared" si="265"/>
        <v>9013.3333333333358</v>
      </c>
      <c r="CA80" s="415">
        <f t="shared" si="265"/>
        <v>9013.3333333333358</v>
      </c>
      <c r="CB80" s="415">
        <f t="shared" si="265"/>
        <v>9013.3333333333358</v>
      </c>
      <c r="CC80" s="415">
        <f t="shared" si="265"/>
        <v>9013.3333333333358</v>
      </c>
      <c r="CD80" s="415">
        <f t="shared" si="265"/>
        <v>9013.3333333333358</v>
      </c>
      <c r="CE80" s="415">
        <f t="shared" si="265"/>
        <v>9013.3333333333358</v>
      </c>
      <c r="CF80" s="416">
        <f t="shared" si="266"/>
        <v>108160.00000000006</v>
      </c>
    </row>
    <row r="81" spans="1:84">
      <c r="A81" s="408" t="s">
        <v>641</v>
      </c>
      <c r="B81" s="426"/>
      <c r="C81" s="428"/>
      <c r="D81" s="429"/>
      <c r="E81" s="413"/>
      <c r="F81" s="414"/>
      <c r="G81" s="415"/>
      <c r="H81" s="415"/>
      <c r="I81" s="415"/>
      <c r="J81" s="415"/>
      <c r="K81" s="415"/>
      <c r="L81" s="415"/>
      <c r="M81" s="415"/>
      <c r="N81" s="415"/>
      <c r="O81" s="415"/>
      <c r="P81" s="415"/>
      <c r="Q81" s="415"/>
      <c r="R81" s="415"/>
      <c r="S81" s="416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415"/>
      <c r="AF81" s="416"/>
      <c r="AG81" s="415"/>
      <c r="AH81" s="415"/>
      <c r="AI81" s="415"/>
      <c r="AJ81" s="415"/>
      <c r="AK81" s="415"/>
      <c r="AL81" s="415"/>
      <c r="AM81" s="415"/>
      <c r="AN81" s="415"/>
      <c r="AO81" s="415"/>
      <c r="AP81" s="415"/>
      <c r="AQ81" s="415"/>
      <c r="AR81" s="415"/>
      <c r="AS81" s="416"/>
      <c r="AT81" s="415"/>
      <c r="AU81" s="415"/>
      <c r="AV81" s="415"/>
      <c r="AW81" s="415"/>
      <c r="AX81" s="415"/>
      <c r="AY81" s="415"/>
      <c r="AZ81" s="415"/>
      <c r="BA81" s="415"/>
      <c r="BB81" s="415"/>
      <c r="BC81" s="415"/>
      <c r="BD81" s="415"/>
      <c r="BE81" s="415"/>
      <c r="BF81" s="416"/>
      <c r="BG81" s="415"/>
      <c r="BH81" s="415"/>
      <c r="BI81" s="415"/>
      <c r="BJ81" s="415"/>
      <c r="BK81" s="415"/>
      <c r="BL81" s="415"/>
      <c r="BM81" s="415"/>
      <c r="BN81" s="415"/>
      <c r="BO81" s="415"/>
      <c r="BP81" s="415"/>
      <c r="BQ81" s="415"/>
      <c r="BR81" s="415"/>
      <c r="BS81" s="416"/>
      <c r="BT81" s="415"/>
      <c r="BU81" s="415"/>
      <c r="BV81" s="415"/>
      <c r="BW81" s="415"/>
      <c r="BX81" s="415"/>
      <c r="BY81" s="415"/>
      <c r="BZ81" s="415"/>
      <c r="CA81" s="415"/>
      <c r="CB81" s="415"/>
      <c r="CC81" s="415"/>
      <c r="CD81" s="415"/>
      <c r="CE81" s="415"/>
      <c r="CF81" s="416"/>
    </row>
    <row r="82" spans="1:84">
      <c r="A82" s="399"/>
      <c r="B82" s="956" t="s">
        <v>896</v>
      </c>
      <c r="C82" s="420" t="s">
        <v>642</v>
      </c>
      <c r="D82" s="423">
        <v>250000</v>
      </c>
      <c r="E82" s="427"/>
      <c r="F82" s="414" t="s">
        <v>52</v>
      </c>
      <c r="G82" s="415">
        <f>IF($F82=$G$6,(D82/12)+(E82/12),0)</f>
        <v>0</v>
      </c>
      <c r="H82" s="415">
        <f t="shared" si="250"/>
        <v>0</v>
      </c>
      <c r="I82" s="415">
        <f t="shared" si="250"/>
        <v>0</v>
      </c>
      <c r="J82" s="415">
        <f t="shared" si="250"/>
        <v>0</v>
      </c>
      <c r="K82" s="415">
        <f t="shared" si="250"/>
        <v>0</v>
      </c>
      <c r="L82" s="415">
        <f t="shared" si="250"/>
        <v>0</v>
      </c>
      <c r="M82" s="415">
        <f t="shared" si="250"/>
        <v>0</v>
      </c>
      <c r="N82" s="415">
        <f t="shared" si="250"/>
        <v>0</v>
      </c>
      <c r="O82" s="415">
        <f t="shared" si="250"/>
        <v>0</v>
      </c>
      <c r="P82" s="415">
        <f t="shared" si="250"/>
        <v>0</v>
      </c>
      <c r="Q82" s="415">
        <f t="shared" si="250"/>
        <v>0</v>
      </c>
      <c r="R82" s="415">
        <f t="shared" si="250"/>
        <v>0</v>
      </c>
      <c r="S82" s="416">
        <f t="shared" si="251"/>
        <v>0</v>
      </c>
      <c r="T82" s="415">
        <f t="shared" si="252"/>
        <v>0</v>
      </c>
      <c r="U82" s="415">
        <f t="shared" si="253"/>
        <v>0</v>
      </c>
      <c r="V82" s="415">
        <f t="shared" si="253"/>
        <v>0</v>
      </c>
      <c r="W82" s="415">
        <f t="shared" si="253"/>
        <v>20833.333333333332</v>
      </c>
      <c r="X82" s="415">
        <f t="shared" si="253"/>
        <v>20833.333333333332</v>
      </c>
      <c r="Y82" s="415">
        <f t="shared" si="253"/>
        <v>20833.333333333332</v>
      </c>
      <c r="Z82" s="415">
        <f t="shared" si="253"/>
        <v>20833.333333333332</v>
      </c>
      <c r="AA82" s="415">
        <f t="shared" si="253"/>
        <v>20833.333333333332</v>
      </c>
      <c r="AB82" s="415">
        <f t="shared" si="253"/>
        <v>20833.333333333332</v>
      </c>
      <c r="AC82" s="415">
        <f t="shared" si="253"/>
        <v>20833.333333333332</v>
      </c>
      <c r="AD82" s="415">
        <f t="shared" si="253"/>
        <v>20833.333333333332</v>
      </c>
      <c r="AE82" s="415">
        <f t="shared" si="253"/>
        <v>20833.333333333332</v>
      </c>
      <c r="AF82" s="416">
        <f t="shared" si="254"/>
        <v>187500</v>
      </c>
      <c r="AG82" s="415">
        <f t="shared" si="255"/>
        <v>21666.666666666668</v>
      </c>
      <c r="AH82" s="415">
        <f t="shared" si="256"/>
        <v>21666.666666666668</v>
      </c>
      <c r="AI82" s="415">
        <f t="shared" si="256"/>
        <v>21666.666666666668</v>
      </c>
      <c r="AJ82" s="415">
        <f t="shared" si="256"/>
        <v>21666.666666666668</v>
      </c>
      <c r="AK82" s="415">
        <f t="shared" si="256"/>
        <v>21666.666666666668</v>
      </c>
      <c r="AL82" s="415">
        <f t="shared" si="256"/>
        <v>21666.666666666668</v>
      </c>
      <c r="AM82" s="415">
        <f t="shared" si="256"/>
        <v>21666.666666666668</v>
      </c>
      <c r="AN82" s="415">
        <f t="shared" si="256"/>
        <v>21666.666666666668</v>
      </c>
      <c r="AO82" s="415">
        <f t="shared" si="256"/>
        <v>21666.666666666668</v>
      </c>
      <c r="AP82" s="415">
        <f t="shared" si="256"/>
        <v>21666.666666666668</v>
      </c>
      <c r="AQ82" s="415">
        <f t="shared" si="256"/>
        <v>21666.666666666668</v>
      </c>
      <c r="AR82" s="415">
        <f t="shared" si="256"/>
        <v>21666.666666666668</v>
      </c>
      <c r="AS82" s="416">
        <f t="shared" si="257"/>
        <v>259999.99999999997</v>
      </c>
      <c r="AT82" s="415">
        <f t="shared" si="258"/>
        <v>22533.333333333336</v>
      </c>
      <c r="AU82" s="415">
        <f t="shared" si="259"/>
        <v>22533.333333333336</v>
      </c>
      <c r="AV82" s="415">
        <f t="shared" si="259"/>
        <v>22533.333333333336</v>
      </c>
      <c r="AW82" s="415">
        <f t="shared" si="259"/>
        <v>22533.333333333336</v>
      </c>
      <c r="AX82" s="415">
        <f t="shared" si="259"/>
        <v>22533.333333333336</v>
      </c>
      <c r="AY82" s="415">
        <f t="shared" si="259"/>
        <v>22533.333333333336</v>
      </c>
      <c r="AZ82" s="415">
        <f t="shared" si="259"/>
        <v>22533.333333333336</v>
      </c>
      <c r="BA82" s="415">
        <f t="shared" si="259"/>
        <v>22533.333333333336</v>
      </c>
      <c r="BB82" s="415">
        <f t="shared" si="259"/>
        <v>22533.333333333336</v>
      </c>
      <c r="BC82" s="415">
        <f t="shared" si="259"/>
        <v>22533.333333333336</v>
      </c>
      <c r="BD82" s="415">
        <f t="shared" si="259"/>
        <v>22533.333333333336</v>
      </c>
      <c r="BE82" s="415">
        <f t="shared" si="259"/>
        <v>22533.333333333336</v>
      </c>
      <c r="BF82" s="416">
        <f t="shared" si="260"/>
        <v>270400.00000000006</v>
      </c>
      <c r="BG82" s="415">
        <f t="shared" si="261"/>
        <v>23434.666666666672</v>
      </c>
      <c r="BH82" s="415">
        <f t="shared" si="262"/>
        <v>23434.666666666672</v>
      </c>
      <c r="BI82" s="415">
        <f t="shared" si="262"/>
        <v>23434.666666666672</v>
      </c>
      <c r="BJ82" s="415">
        <f t="shared" si="262"/>
        <v>23434.666666666672</v>
      </c>
      <c r="BK82" s="415">
        <f t="shared" si="262"/>
        <v>23434.666666666672</v>
      </c>
      <c r="BL82" s="415">
        <f t="shared" si="262"/>
        <v>23434.666666666672</v>
      </c>
      <c r="BM82" s="415">
        <f t="shared" si="262"/>
        <v>23434.666666666672</v>
      </c>
      <c r="BN82" s="415">
        <f t="shared" si="262"/>
        <v>23434.666666666672</v>
      </c>
      <c r="BO82" s="415">
        <f t="shared" si="262"/>
        <v>23434.666666666672</v>
      </c>
      <c r="BP82" s="415">
        <f t="shared" si="262"/>
        <v>23434.666666666672</v>
      </c>
      <c r="BQ82" s="415">
        <f t="shared" si="262"/>
        <v>23434.666666666672</v>
      </c>
      <c r="BR82" s="415">
        <f t="shared" si="262"/>
        <v>23434.666666666672</v>
      </c>
      <c r="BS82" s="416">
        <f t="shared" si="263"/>
        <v>281216.00000000012</v>
      </c>
      <c r="BT82" s="415">
        <f t="shared" si="264"/>
        <v>24372.053333333341</v>
      </c>
      <c r="BU82" s="415">
        <f t="shared" si="265"/>
        <v>24372.053333333341</v>
      </c>
      <c r="BV82" s="415">
        <f t="shared" si="265"/>
        <v>24372.053333333341</v>
      </c>
      <c r="BW82" s="415">
        <f t="shared" si="265"/>
        <v>24372.053333333341</v>
      </c>
      <c r="BX82" s="415">
        <f t="shared" si="265"/>
        <v>24372.053333333341</v>
      </c>
      <c r="BY82" s="415">
        <f t="shared" si="265"/>
        <v>24372.053333333341</v>
      </c>
      <c r="BZ82" s="415">
        <f t="shared" si="265"/>
        <v>24372.053333333341</v>
      </c>
      <c r="CA82" s="415">
        <f t="shared" si="265"/>
        <v>24372.053333333341</v>
      </c>
      <c r="CB82" s="415">
        <f t="shared" si="265"/>
        <v>24372.053333333341</v>
      </c>
      <c r="CC82" s="415">
        <f t="shared" si="265"/>
        <v>24372.053333333341</v>
      </c>
      <c r="CD82" s="415">
        <f t="shared" si="265"/>
        <v>24372.053333333341</v>
      </c>
      <c r="CE82" s="415">
        <f t="shared" si="265"/>
        <v>24372.053333333341</v>
      </c>
      <c r="CF82" s="416">
        <f t="shared" si="266"/>
        <v>292464.64000000007</v>
      </c>
    </row>
    <row r="83" spans="1:84">
      <c r="A83" s="399"/>
      <c r="B83" s="426" t="s">
        <v>137</v>
      </c>
      <c r="C83" s="420" t="s">
        <v>643</v>
      </c>
      <c r="D83" s="423">
        <v>180000</v>
      </c>
      <c r="E83" s="427"/>
      <c r="F83" s="414" t="s">
        <v>313</v>
      </c>
      <c r="G83" s="415">
        <f>IF($F83=$G$6,(D83/12)+(E83/12),0)</f>
        <v>0</v>
      </c>
      <c r="H83" s="415">
        <f t="shared" si="250"/>
        <v>0</v>
      </c>
      <c r="I83" s="415">
        <f t="shared" si="250"/>
        <v>0</v>
      </c>
      <c r="J83" s="415">
        <f t="shared" si="250"/>
        <v>0</v>
      </c>
      <c r="K83" s="415">
        <f t="shared" si="250"/>
        <v>0</v>
      </c>
      <c r="L83" s="415">
        <f t="shared" si="250"/>
        <v>0</v>
      </c>
      <c r="M83" s="415">
        <f t="shared" si="250"/>
        <v>0</v>
      </c>
      <c r="N83" s="415">
        <f t="shared" si="250"/>
        <v>0</v>
      </c>
      <c r="O83" s="415">
        <f t="shared" si="250"/>
        <v>0</v>
      </c>
      <c r="P83" s="415">
        <f t="shared" si="250"/>
        <v>0</v>
      </c>
      <c r="Q83" s="415">
        <f t="shared" si="250"/>
        <v>0</v>
      </c>
      <c r="R83" s="415">
        <f t="shared" si="250"/>
        <v>0</v>
      </c>
      <c r="S83" s="416">
        <f t="shared" si="251"/>
        <v>0</v>
      </c>
      <c r="T83" s="415">
        <f t="shared" si="252"/>
        <v>0</v>
      </c>
      <c r="U83" s="415">
        <f t="shared" si="253"/>
        <v>0</v>
      </c>
      <c r="V83" s="415">
        <f t="shared" si="253"/>
        <v>0</v>
      </c>
      <c r="W83" s="415">
        <f t="shared" si="253"/>
        <v>0</v>
      </c>
      <c r="X83" s="415">
        <f t="shared" si="253"/>
        <v>0</v>
      </c>
      <c r="Y83" s="415">
        <f t="shared" si="253"/>
        <v>0</v>
      </c>
      <c r="Z83" s="415">
        <f t="shared" si="253"/>
        <v>0</v>
      </c>
      <c r="AA83" s="415">
        <f t="shared" si="253"/>
        <v>0</v>
      </c>
      <c r="AB83" s="415">
        <f t="shared" si="253"/>
        <v>0</v>
      </c>
      <c r="AC83" s="415">
        <f t="shared" si="253"/>
        <v>0</v>
      </c>
      <c r="AD83" s="415">
        <f t="shared" si="253"/>
        <v>0</v>
      </c>
      <c r="AE83" s="415">
        <f t="shared" si="253"/>
        <v>0</v>
      </c>
      <c r="AF83" s="416">
        <f t="shared" si="254"/>
        <v>0</v>
      </c>
      <c r="AG83" s="415">
        <f t="shared" si="255"/>
        <v>0</v>
      </c>
      <c r="AH83" s="415">
        <f t="shared" si="256"/>
        <v>0</v>
      </c>
      <c r="AI83" s="415">
        <f t="shared" si="256"/>
        <v>0</v>
      </c>
      <c r="AJ83" s="415">
        <f t="shared" si="256"/>
        <v>0</v>
      </c>
      <c r="AK83" s="415">
        <f t="shared" si="256"/>
        <v>0</v>
      </c>
      <c r="AL83" s="415">
        <f t="shared" si="256"/>
        <v>0</v>
      </c>
      <c r="AM83" s="415">
        <f t="shared" si="256"/>
        <v>15000</v>
      </c>
      <c r="AN83" s="415">
        <f t="shared" si="256"/>
        <v>15000</v>
      </c>
      <c r="AO83" s="415">
        <f t="shared" si="256"/>
        <v>15000</v>
      </c>
      <c r="AP83" s="415">
        <f t="shared" si="256"/>
        <v>15000</v>
      </c>
      <c r="AQ83" s="415">
        <f t="shared" si="256"/>
        <v>15000</v>
      </c>
      <c r="AR83" s="415">
        <f t="shared" si="256"/>
        <v>15000</v>
      </c>
      <c r="AS83" s="416">
        <f t="shared" si="257"/>
        <v>90000</v>
      </c>
      <c r="AT83" s="415">
        <f t="shared" si="258"/>
        <v>15600</v>
      </c>
      <c r="AU83" s="415">
        <f t="shared" si="259"/>
        <v>15600</v>
      </c>
      <c r="AV83" s="415">
        <f t="shared" si="259"/>
        <v>15600</v>
      </c>
      <c r="AW83" s="415">
        <f t="shared" si="259"/>
        <v>15600</v>
      </c>
      <c r="AX83" s="415">
        <f t="shared" si="259"/>
        <v>15600</v>
      </c>
      <c r="AY83" s="415">
        <f t="shared" si="259"/>
        <v>15600</v>
      </c>
      <c r="AZ83" s="415">
        <f t="shared" si="259"/>
        <v>15600</v>
      </c>
      <c r="BA83" s="415">
        <f t="shared" si="259"/>
        <v>15600</v>
      </c>
      <c r="BB83" s="415">
        <f t="shared" si="259"/>
        <v>15600</v>
      </c>
      <c r="BC83" s="415">
        <f t="shared" si="259"/>
        <v>15600</v>
      </c>
      <c r="BD83" s="415">
        <f t="shared" si="259"/>
        <v>15600</v>
      </c>
      <c r="BE83" s="415">
        <f t="shared" si="259"/>
        <v>15600</v>
      </c>
      <c r="BF83" s="416">
        <f t="shared" si="260"/>
        <v>187200</v>
      </c>
      <c r="BG83" s="415">
        <f t="shared" si="261"/>
        <v>16224</v>
      </c>
      <c r="BH83" s="415">
        <f t="shared" si="262"/>
        <v>16224</v>
      </c>
      <c r="BI83" s="415">
        <f t="shared" si="262"/>
        <v>16224</v>
      </c>
      <c r="BJ83" s="415">
        <f t="shared" si="262"/>
        <v>16224</v>
      </c>
      <c r="BK83" s="415">
        <f t="shared" si="262"/>
        <v>16224</v>
      </c>
      <c r="BL83" s="415">
        <f t="shared" si="262"/>
        <v>16224</v>
      </c>
      <c r="BM83" s="415">
        <f t="shared" si="262"/>
        <v>16224</v>
      </c>
      <c r="BN83" s="415">
        <f t="shared" si="262"/>
        <v>16224</v>
      </c>
      <c r="BO83" s="415">
        <f t="shared" si="262"/>
        <v>16224</v>
      </c>
      <c r="BP83" s="415">
        <f t="shared" si="262"/>
        <v>16224</v>
      </c>
      <c r="BQ83" s="415">
        <f t="shared" si="262"/>
        <v>16224</v>
      </c>
      <c r="BR83" s="415">
        <f t="shared" si="262"/>
        <v>16224</v>
      </c>
      <c r="BS83" s="416">
        <f t="shared" si="263"/>
        <v>194688</v>
      </c>
      <c r="BT83" s="415">
        <f t="shared" si="264"/>
        <v>16872.96</v>
      </c>
      <c r="BU83" s="415">
        <f t="shared" si="265"/>
        <v>16872.96</v>
      </c>
      <c r="BV83" s="415">
        <f t="shared" si="265"/>
        <v>16872.96</v>
      </c>
      <c r="BW83" s="415">
        <f t="shared" si="265"/>
        <v>16872.96</v>
      </c>
      <c r="BX83" s="415">
        <f t="shared" si="265"/>
        <v>16872.96</v>
      </c>
      <c r="BY83" s="415">
        <f t="shared" si="265"/>
        <v>16872.96</v>
      </c>
      <c r="BZ83" s="415">
        <f t="shared" si="265"/>
        <v>16872.96</v>
      </c>
      <c r="CA83" s="415">
        <f t="shared" si="265"/>
        <v>16872.96</v>
      </c>
      <c r="CB83" s="415">
        <f t="shared" si="265"/>
        <v>16872.96</v>
      </c>
      <c r="CC83" s="415">
        <f t="shared" si="265"/>
        <v>16872.96</v>
      </c>
      <c r="CD83" s="415">
        <f t="shared" si="265"/>
        <v>16872.96</v>
      </c>
      <c r="CE83" s="415">
        <f t="shared" si="265"/>
        <v>16872.96</v>
      </c>
      <c r="CF83" s="416">
        <f t="shared" si="266"/>
        <v>202475.51999999993</v>
      </c>
    </row>
    <row r="84" spans="1:84">
      <c r="A84" s="399"/>
      <c r="B84" s="426" t="s">
        <v>137</v>
      </c>
      <c r="C84" s="420" t="s">
        <v>643</v>
      </c>
      <c r="D84" s="423">
        <v>140000</v>
      </c>
      <c r="E84" s="427"/>
      <c r="F84" s="414" t="s">
        <v>313</v>
      </c>
      <c r="G84" s="415">
        <f t="shared" ref="G84:G96" si="267">IF($F84=$G$6,(D84/12)+(E84/12),0)</f>
        <v>0</v>
      </c>
      <c r="H84" s="415">
        <f t="shared" si="250"/>
        <v>0</v>
      </c>
      <c r="I84" s="415">
        <f t="shared" si="250"/>
        <v>0</v>
      </c>
      <c r="J84" s="415">
        <f t="shared" si="250"/>
        <v>0</v>
      </c>
      <c r="K84" s="415">
        <f t="shared" si="250"/>
        <v>0</v>
      </c>
      <c r="L84" s="415">
        <f t="shared" si="250"/>
        <v>0</v>
      </c>
      <c r="M84" s="415">
        <f t="shared" si="250"/>
        <v>0</v>
      </c>
      <c r="N84" s="415">
        <f t="shared" si="250"/>
        <v>0</v>
      </c>
      <c r="O84" s="415">
        <f t="shared" si="250"/>
        <v>0</v>
      </c>
      <c r="P84" s="415">
        <f t="shared" si="250"/>
        <v>0</v>
      </c>
      <c r="Q84" s="415">
        <f t="shared" si="250"/>
        <v>0</v>
      </c>
      <c r="R84" s="415">
        <f t="shared" si="250"/>
        <v>0</v>
      </c>
      <c r="S84" s="416">
        <f t="shared" si="251"/>
        <v>0</v>
      </c>
      <c r="T84" s="415">
        <f t="shared" si="252"/>
        <v>0</v>
      </c>
      <c r="U84" s="415">
        <f t="shared" si="253"/>
        <v>0</v>
      </c>
      <c r="V84" s="415">
        <f t="shared" si="253"/>
        <v>0</v>
      </c>
      <c r="W84" s="415">
        <f t="shared" si="253"/>
        <v>0</v>
      </c>
      <c r="X84" s="415">
        <f t="shared" si="253"/>
        <v>0</v>
      </c>
      <c r="Y84" s="415">
        <f t="shared" si="253"/>
        <v>0</v>
      </c>
      <c r="Z84" s="415">
        <f t="shared" si="253"/>
        <v>0</v>
      </c>
      <c r="AA84" s="415">
        <f t="shared" si="253"/>
        <v>0</v>
      </c>
      <c r="AB84" s="415">
        <f t="shared" si="253"/>
        <v>0</v>
      </c>
      <c r="AC84" s="415">
        <f t="shared" si="253"/>
        <v>0</v>
      </c>
      <c r="AD84" s="415">
        <f t="shared" si="253"/>
        <v>0</v>
      </c>
      <c r="AE84" s="415">
        <f t="shared" si="253"/>
        <v>0</v>
      </c>
      <c r="AF84" s="416">
        <f t="shared" si="254"/>
        <v>0</v>
      </c>
      <c r="AG84" s="415">
        <f t="shared" si="255"/>
        <v>0</v>
      </c>
      <c r="AH84" s="415">
        <f t="shared" si="256"/>
        <v>0</v>
      </c>
      <c r="AI84" s="415">
        <f t="shared" si="256"/>
        <v>0</v>
      </c>
      <c r="AJ84" s="415">
        <f t="shared" si="256"/>
        <v>0</v>
      </c>
      <c r="AK84" s="415">
        <f t="shared" si="256"/>
        <v>0</v>
      </c>
      <c r="AL84" s="415">
        <f t="shared" si="256"/>
        <v>0</v>
      </c>
      <c r="AM84" s="415">
        <f t="shared" si="256"/>
        <v>11666.666666666666</v>
      </c>
      <c r="AN84" s="415">
        <f t="shared" si="256"/>
        <v>11666.666666666666</v>
      </c>
      <c r="AO84" s="415">
        <f t="shared" si="256"/>
        <v>11666.666666666666</v>
      </c>
      <c r="AP84" s="415">
        <f t="shared" si="256"/>
        <v>11666.666666666666</v>
      </c>
      <c r="AQ84" s="415">
        <f t="shared" si="256"/>
        <v>11666.666666666666</v>
      </c>
      <c r="AR84" s="415">
        <f t="shared" si="256"/>
        <v>11666.666666666666</v>
      </c>
      <c r="AS84" s="416">
        <f t="shared" si="257"/>
        <v>70000</v>
      </c>
      <c r="AT84" s="415">
        <f t="shared" si="258"/>
        <v>12133.333333333334</v>
      </c>
      <c r="AU84" s="415">
        <f t="shared" si="259"/>
        <v>12133.333333333334</v>
      </c>
      <c r="AV84" s="415">
        <f t="shared" si="259"/>
        <v>12133.333333333334</v>
      </c>
      <c r="AW84" s="415">
        <f t="shared" si="259"/>
        <v>12133.333333333334</v>
      </c>
      <c r="AX84" s="415">
        <f t="shared" si="259"/>
        <v>12133.333333333334</v>
      </c>
      <c r="AY84" s="415">
        <f t="shared" si="259"/>
        <v>12133.333333333334</v>
      </c>
      <c r="AZ84" s="415">
        <f t="shared" si="259"/>
        <v>12133.333333333334</v>
      </c>
      <c r="BA84" s="415">
        <f t="shared" si="259"/>
        <v>12133.333333333334</v>
      </c>
      <c r="BB84" s="415">
        <f t="shared" si="259"/>
        <v>12133.333333333334</v>
      </c>
      <c r="BC84" s="415">
        <f t="shared" si="259"/>
        <v>12133.333333333334</v>
      </c>
      <c r="BD84" s="415">
        <f t="shared" si="259"/>
        <v>12133.333333333334</v>
      </c>
      <c r="BE84" s="415">
        <f t="shared" si="259"/>
        <v>12133.333333333334</v>
      </c>
      <c r="BF84" s="416">
        <f t="shared" si="260"/>
        <v>145600</v>
      </c>
      <c r="BG84" s="415">
        <f t="shared" si="261"/>
        <v>12618.666666666668</v>
      </c>
      <c r="BH84" s="415">
        <f t="shared" si="262"/>
        <v>12618.666666666668</v>
      </c>
      <c r="BI84" s="415">
        <f t="shared" si="262"/>
        <v>12618.666666666668</v>
      </c>
      <c r="BJ84" s="415">
        <f t="shared" si="262"/>
        <v>12618.666666666668</v>
      </c>
      <c r="BK84" s="415">
        <f t="shared" si="262"/>
        <v>12618.666666666668</v>
      </c>
      <c r="BL84" s="415">
        <f t="shared" si="262"/>
        <v>12618.666666666668</v>
      </c>
      <c r="BM84" s="415">
        <f t="shared" si="262"/>
        <v>12618.666666666668</v>
      </c>
      <c r="BN84" s="415">
        <f t="shared" si="262"/>
        <v>12618.666666666668</v>
      </c>
      <c r="BO84" s="415">
        <f t="shared" si="262"/>
        <v>12618.666666666668</v>
      </c>
      <c r="BP84" s="415">
        <f t="shared" si="262"/>
        <v>12618.666666666668</v>
      </c>
      <c r="BQ84" s="415">
        <f t="shared" si="262"/>
        <v>12618.666666666668</v>
      </c>
      <c r="BR84" s="415">
        <f t="shared" si="262"/>
        <v>12618.666666666668</v>
      </c>
      <c r="BS84" s="416">
        <f t="shared" si="263"/>
        <v>151424.00000000003</v>
      </c>
      <c r="BT84" s="415">
        <f t="shared" si="264"/>
        <v>13123.413333333336</v>
      </c>
      <c r="BU84" s="415">
        <f t="shared" si="265"/>
        <v>13123.413333333336</v>
      </c>
      <c r="BV84" s="415">
        <f t="shared" si="265"/>
        <v>13123.413333333336</v>
      </c>
      <c r="BW84" s="415">
        <f t="shared" si="265"/>
        <v>13123.413333333336</v>
      </c>
      <c r="BX84" s="415">
        <f t="shared" si="265"/>
        <v>13123.413333333336</v>
      </c>
      <c r="BY84" s="415">
        <f t="shared" si="265"/>
        <v>13123.413333333336</v>
      </c>
      <c r="BZ84" s="415">
        <f t="shared" si="265"/>
        <v>13123.413333333336</v>
      </c>
      <c r="CA84" s="415">
        <f t="shared" si="265"/>
        <v>13123.413333333336</v>
      </c>
      <c r="CB84" s="415">
        <f t="shared" si="265"/>
        <v>13123.413333333336</v>
      </c>
      <c r="CC84" s="415">
        <f t="shared" si="265"/>
        <v>13123.413333333336</v>
      </c>
      <c r="CD84" s="415">
        <f t="shared" si="265"/>
        <v>13123.413333333336</v>
      </c>
      <c r="CE84" s="415">
        <f t="shared" si="265"/>
        <v>13123.413333333336</v>
      </c>
      <c r="CF84" s="416">
        <f t="shared" si="266"/>
        <v>157480.95999999999</v>
      </c>
    </row>
    <row r="85" spans="1:84">
      <c r="A85" s="399"/>
      <c r="B85" s="426" t="s">
        <v>137</v>
      </c>
      <c r="C85" s="420" t="s">
        <v>643</v>
      </c>
      <c r="D85" s="423">
        <v>140000</v>
      </c>
      <c r="E85" s="427"/>
      <c r="F85" s="414" t="s">
        <v>319</v>
      </c>
      <c r="G85" s="415">
        <f t="shared" si="267"/>
        <v>0</v>
      </c>
      <c r="H85" s="415">
        <f t="shared" ref="H85:R96" si="268">G85</f>
        <v>0</v>
      </c>
      <c r="I85" s="415">
        <f t="shared" si="268"/>
        <v>0</v>
      </c>
      <c r="J85" s="415">
        <f t="shared" si="268"/>
        <v>0</v>
      </c>
      <c r="K85" s="415">
        <f t="shared" si="268"/>
        <v>0</v>
      </c>
      <c r="L85" s="415">
        <f t="shared" si="268"/>
        <v>0</v>
      </c>
      <c r="M85" s="415">
        <f t="shared" si="268"/>
        <v>0</v>
      </c>
      <c r="N85" s="415">
        <f t="shared" si="268"/>
        <v>0</v>
      </c>
      <c r="O85" s="415">
        <f t="shared" si="268"/>
        <v>0</v>
      </c>
      <c r="P85" s="415">
        <f t="shared" si="268"/>
        <v>0</v>
      </c>
      <c r="Q85" s="415">
        <f t="shared" si="268"/>
        <v>0</v>
      </c>
      <c r="R85" s="415">
        <f t="shared" si="268"/>
        <v>0</v>
      </c>
      <c r="S85" s="416">
        <f t="shared" si="251"/>
        <v>0</v>
      </c>
      <c r="T85" s="415">
        <f t="shared" si="252"/>
        <v>0</v>
      </c>
      <c r="U85" s="415">
        <f t="shared" ref="U85:AE96" si="269">IF($F85=U$6,(($D85+$E85)/12),T85)</f>
        <v>0</v>
      </c>
      <c r="V85" s="415">
        <f t="shared" si="269"/>
        <v>0</v>
      </c>
      <c r="W85" s="415">
        <f t="shared" si="269"/>
        <v>0</v>
      </c>
      <c r="X85" s="415">
        <f t="shared" si="269"/>
        <v>0</v>
      </c>
      <c r="Y85" s="415">
        <f t="shared" si="269"/>
        <v>0</v>
      </c>
      <c r="Z85" s="415">
        <f t="shared" si="269"/>
        <v>0</v>
      </c>
      <c r="AA85" s="415">
        <f t="shared" si="269"/>
        <v>0</v>
      </c>
      <c r="AB85" s="415">
        <f t="shared" si="269"/>
        <v>0</v>
      </c>
      <c r="AC85" s="415">
        <f t="shared" si="269"/>
        <v>0</v>
      </c>
      <c r="AD85" s="415">
        <f t="shared" si="269"/>
        <v>0</v>
      </c>
      <c r="AE85" s="415">
        <f t="shared" si="269"/>
        <v>0</v>
      </c>
      <c r="AF85" s="416">
        <f t="shared" si="254"/>
        <v>0</v>
      </c>
      <c r="AG85" s="415">
        <f t="shared" si="255"/>
        <v>0</v>
      </c>
      <c r="AH85" s="415">
        <f t="shared" ref="AH85:AR96" si="270">IF($F85=AH$6,(($D85+$E85)/12),AG85)</f>
        <v>0</v>
      </c>
      <c r="AI85" s="415">
        <f t="shared" si="270"/>
        <v>0</v>
      </c>
      <c r="AJ85" s="415">
        <f t="shared" si="270"/>
        <v>0</v>
      </c>
      <c r="AK85" s="415">
        <f t="shared" si="270"/>
        <v>0</v>
      </c>
      <c r="AL85" s="415">
        <f t="shared" si="270"/>
        <v>0</v>
      </c>
      <c r="AM85" s="415">
        <f t="shared" si="270"/>
        <v>0</v>
      </c>
      <c r="AN85" s="415">
        <f t="shared" si="270"/>
        <v>0</v>
      </c>
      <c r="AO85" s="415">
        <f t="shared" si="270"/>
        <v>0</v>
      </c>
      <c r="AP85" s="415">
        <f t="shared" si="270"/>
        <v>0</v>
      </c>
      <c r="AQ85" s="415">
        <f t="shared" si="270"/>
        <v>0</v>
      </c>
      <c r="AR85" s="415">
        <f t="shared" si="270"/>
        <v>0</v>
      </c>
      <c r="AS85" s="416">
        <f t="shared" si="257"/>
        <v>0</v>
      </c>
      <c r="AT85" s="415">
        <f t="shared" si="258"/>
        <v>11666.666666666666</v>
      </c>
      <c r="AU85" s="415">
        <f t="shared" ref="AU85:BE96" si="271">IF($F85=AU$6,(($D85+$E85)/12),AT85)</f>
        <v>11666.666666666666</v>
      </c>
      <c r="AV85" s="415">
        <f t="shared" si="271"/>
        <v>11666.666666666666</v>
      </c>
      <c r="AW85" s="415">
        <f t="shared" si="271"/>
        <v>11666.666666666666</v>
      </c>
      <c r="AX85" s="415">
        <f t="shared" si="271"/>
        <v>11666.666666666666</v>
      </c>
      <c r="AY85" s="415">
        <f t="shared" si="271"/>
        <v>11666.666666666666</v>
      </c>
      <c r="AZ85" s="415">
        <f t="shared" si="271"/>
        <v>11666.666666666666</v>
      </c>
      <c r="BA85" s="415">
        <f t="shared" si="271"/>
        <v>11666.666666666666</v>
      </c>
      <c r="BB85" s="415">
        <f t="shared" si="271"/>
        <v>11666.666666666666</v>
      </c>
      <c r="BC85" s="415">
        <f t="shared" si="271"/>
        <v>11666.666666666666</v>
      </c>
      <c r="BD85" s="415">
        <f t="shared" si="271"/>
        <v>11666.666666666666</v>
      </c>
      <c r="BE85" s="415">
        <f t="shared" si="271"/>
        <v>11666.666666666666</v>
      </c>
      <c r="BF85" s="416">
        <f t="shared" si="260"/>
        <v>140000.00000000003</v>
      </c>
      <c r="BG85" s="415">
        <f t="shared" si="261"/>
        <v>12133.333333333334</v>
      </c>
      <c r="BH85" s="415">
        <f t="shared" ref="BH85:BR96" si="272">IF($F85=BH$6,(($D85+$E85)/12),BG85)</f>
        <v>12133.333333333334</v>
      </c>
      <c r="BI85" s="415">
        <f t="shared" si="272"/>
        <v>12133.333333333334</v>
      </c>
      <c r="BJ85" s="415">
        <f t="shared" si="272"/>
        <v>12133.333333333334</v>
      </c>
      <c r="BK85" s="415">
        <f t="shared" si="272"/>
        <v>12133.333333333334</v>
      </c>
      <c r="BL85" s="415">
        <f t="shared" si="272"/>
        <v>12133.333333333334</v>
      </c>
      <c r="BM85" s="415">
        <f t="shared" si="272"/>
        <v>12133.333333333334</v>
      </c>
      <c r="BN85" s="415">
        <f t="shared" si="272"/>
        <v>12133.333333333334</v>
      </c>
      <c r="BO85" s="415">
        <f t="shared" si="272"/>
        <v>12133.333333333334</v>
      </c>
      <c r="BP85" s="415">
        <f t="shared" si="272"/>
        <v>12133.333333333334</v>
      </c>
      <c r="BQ85" s="415">
        <f t="shared" si="272"/>
        <v>12133.333333333334</v>
      </c>
      <c r="BR85" s="415">
        <f t="shared" si="272"/>
        <v>12133.333333333334</v>
      </c>
      <c r="BS85" s="416">
        <f t="shared" si="263"/>
        <v>145600</v>
      </c>
      <c r="BT85" s="415">
        <f t="shared" si="264"/>
        <v>12618.666666666668</v>
      </c>
      <c r="BU85" s="415">
        <f t="shared" ref="BU85:CE96" si="273">IF($F85=BU$6,(($D85+$E85)/12),BT85)</f>
        <v>12618.666666666668</v>
      </c>
      <c r="BV85" s="415">
        <f t="shared" si="273"/>
        <v>12618.666666666668</v>
      </c>
      <c r="BW85" s="415">
        <f t="shared" si="273"/>
        <v>12618.666666666668</v>
      </c>
      <c r="BX85" s="415">
        <f t="shared" si="273"/>
        <v>12618.666666666668</v>
      </c>
      <c r="BY85" s="415">
        <f t="shared" si="273"/>
        <v>12618.666666666668</v>
      </c>
      <c r="BZ85" s="415">
        <f t="shared" si="273"/>
        <v>12618.666666666668</v>
      </c>
      <c r="CA85" s="415">
        <f t="shared" si="273"/>
        <v>12618.666666666668</v>
      </c>
      <c r="CB85" s="415">
        <f t="shared" si="273"/>
        <v>12618.666666666668</v>
      </c>
      <c r="CC85" s="415">
        <f t="shared" si="273"/>
        <v>12618.666666666668</v>
      </c>
      <c r="CD85" s="415">
        <f t="shared" si="273"/>
        <v>12618.666666666668</v>
      </c>
      <c r="CE85" s="415">
        <f t="shared" si="273"/>
        <v>12618.666666666668</v>
      </c>
      <c r="CF85" s="416">
        <f t="shared" si="266"/>
        <v>151424.00000000003</v>
      </c>
    </row>
    <row r="86" spans="1:84">
      <c r="A86" s="399"/>
      <c r="B86" s="426" t="s">
        <v>137</v>
      </c>
      <c r="C86" s="534" t="s">
        <v>786</v>
      </c>
      <c r="D86" s="423">
        <v>70000</v>
      </c>
      <c r="E86" s="427"/>
      <c r="F86" s="414" t="s">
        <v>319</v>
      </c>
      <c r="G86" s="415">
        <f t="shared" si="267"/>
        <v>0</v>
      </c>
      <c r="H86" s="415">
        <f t="shared" si="268"/>
        <v>0</v>
      </c>
      <c r="I86" s="415">
        <f t="shared" si="268"/>
        <v>0</v>
      </c>
      <c r="J86" s="415">
        <f t="shared" si="268"/>
        <v>0</v>
      </c>
      <c r="K86" s="415">
        <f t="shared" si="268"/>
        <v>0</v>
      </c>
      <c r="L86" s="415">
        <f t="shared" si="268"/>
        <v>0</v>
      </c>
      <c r="M86" s="415">
        <f t="shared" si="268"/>
        <v>0</v>
      </c>
      <c r="N86" s="415">
        <f t="shared" si="268"/>
        <v>0</v>
      </c>
      <c r="O86" s="415">
        <f t="shared" si="268"/>
        <v>0</v>
      </c>
      <c r="P86" s="415">
        <f t="shared" si="268"/>
        <v>0</v>
      </c>
      <c r="Q86" s="415">
        <f t="shared" si="268"/>
        <v>0</v>
      </c>
      <c r="R86" s="415">
        <f t="shared" si="268"/>
        <v>0</v>
      </c>
      <c r="S86" s="416">
        <f t="shared" si="251"/>
        <v>0</v>
      </c>
      <c r="T86" s="415">
        <f t="shared" si="252"/>
        <v>0</v>
      </c>
      <c r="U86" s="415">
        <f t="shared" si="269"/>
        <v>0</v>
      </c>
      <c r="V86" s="415">
        <f t="shared" si="269"/>
        <v>0</v>
      </c>
      <c r="W86" s="415">
        <f t="shared" si="269"/>
        <v>0</v>
      </c>
      <c r="X86" s="415">
        <f t="shared" si="269"/>
        <v>0</v>
      </c>
      <c r="Y86" s="415">
        <f t="shared" si="269"/>
        <v>0</v>
      </c>
      <c r="Z86" s="415">
        <f t="shared" si="269"/>
        <v>0</v>
      </c>
      <c r="AA86" s="415">
        <f t="shared" si="269"/>
        <v>0</v>
      </c>
      <c r="AB86" s="415">
        <f t="shared" si="269"/>
        <v>0</v>
      </c>
      <c r="AC86" s="415">
        <f t="shared" si="269"/>
        <v>0</v>
      </c>
      <c r="AD86" s="415">
        <f t="shared" si="269"/>
        <v>0</v>
      </c>
      <c r="AE86" s="415">
        <f t="shared" si="269"/>
        <v>0</v>
      </c>
      <c r="AF86" s="416">
        <f t="shared" si="254"/>
        <v>0</v>
      </c>
      <c r="AG86" s="415">
        <f>IF($F86=AG$6,($D86+$E86)/12,AE86*(1+AG$8))</f>
        <v>0</v>
      </c>
      <c r="AH86" s="415">
        <f t="shared" si="270"/>
        <v>0</v>
      </c>
      <c r="AI86" s="415">
        <f t="shared" si="270"/>
        <v>0</v>
      </c>
      <c r="AJ86" s="415">
        <f t="shared" si="270"/>
        <v>0</v>
      </c>
      <c r="AK86" s="415">
        <f t="shared" si="270"/>
        <v>0</v>
      </c>
      <c r="AL86" s="415">
        <f t="shared" si="270"/>
        <v>0</v>
      </c>
      <c r="AM86" s="415">
        <f t="shared" si="270"/>
        <v>0</v>
      </c>
      <c r="AN86" s="415">
        <f t="shared" si="270"/>
        <v>0</v>
      </c>
      <c r="AO86" s="415">
        <f t="shared" si="270"/>
        <v>0</v>
      </c>
      <c r="AP86" s="415">
        <f t="shared" si="270"/>
        <v>0</v>
      </c>
      <c r="AQ86" s="415">
        <f t="shared" si="270"/>
        <v>0</v>
      </c>
      <c r="AR86" s="415">
        <f t="shared" si="270"/>
        <v>0</v>
      </c>
      <c r="AS86" s="416">
        <f t="shared" si="257"/>
        <v>0</v>
      </c>
      <c r="AT86" s="415">
        <f>IF($F86=AT$6,($D86+$E86)/12,AR86*(1+AT$8))</f>
        <v>5833.333333333333</v>
      </c>
      <c r="AU86" s="415">
        <f t="shared" si="271"/>
        <v>5833.333333333333</v>
      </c>
      <c r="AV86" s="415">
        <f t="shared" si="271"/>
        <v>5833.333333333333</v>
      </c>
      <c r="AW86" s="415">
        <f t="shared" si="271"/>
        <v>5833.333333333333</v>
      </c>
      <c r="AX86" s="415">
        <f t="shared" si="271"/>
        <v>5833.333333333333</v>
      </c>
      <c r="AY86" s="415">
        <f t="shared" si="271"/>
        <v>5833.333333333333</v>
      </c>
      <c r="AZ86" s="415">
        <f t="shared" si="271"/>
        <v>5833.333333333333</v>
      </c>
      <c r="BA86" s="415">
        <f t="shared" si="271"/>
        <v>5833.333333333333</v>
      </c>
      <c r="BB86" s="415">
        <f t="shared" si="271"/>
        <v>5833.333333333333</v>
      </c>
      <c r="BC86" s="415">
        <f t="shared" si="271"/>
        <v>5833.333333333333</v>
      </c>
      <c r="BD86" s="415">
        <f t="shared" si="271"/>
        <v>5833.333333333333</v>
      </c>
      <c r="BE86" s="415">
        <f t="shared" si="271"/>
        <v>5833.333333333333</v>
      </c>
      <c r="BF86" s="416">
        <f t="shared" si="260"/>
        <v>70000.000000000015</v>
      </c>
      <c r="BG86" s="415">
        <f>IF($F86=BG$6,($D86+$E86)/12,BE86*(1+BG$8))</f>
        <v>6066.666666666667</v>
      </c>
      <c r="BH86" s="415">
        <f t="shared" si="272"/>
        <v>6066.666666666667</v>
      </c>
      <c r="BI86" s="415">
        <f t="shared" si="272"/>
        <v>6066.666666666667</v>
      </c>
      <c r="BJ86" s="415">
        <f t="shared" si="272"/>
        <v>6066.666666666667</v>
      </c>
      <c r="BK86" s="415">
        <f t="shared" si="272"/>
        <v>6066.666666666667</v>
      </c>
      <c r="BL86" s="415">
        <f t="shared" si="272"/>
        <v>6066.666666666667</v>
      </c>
      <c r="BM86" s="415">
        <f t="shared" si="272"/>
        <v>6066.666666666667</v>
      </c>
      <c r="BN86" s="415">
        <f t="shared" si="272"/>
        <v>6066.666666666667</v>
      </c>
      <c r="BO86" s="415">
        <f t="shared" si="272"/>
        <v>6066.666666666667</v>
      </c>
      <c r="BP86" s="415">
        <f t="shared" si="272"/>
        <v>6066.666666666667</v>
      </c>
      <c r="BQ86" s="415">
        <f t="shared" si="272"/>
        <v>6066.666666666667</v>
      </c>
      <c r="BR86" s="415">
        <f t="shared" si="272"/>
        <v>6066.666666666667</v>
      </c>
      <c r="BS86" s="416">
        <f t="shared" si="263"/>
        <v>72800</v>
      </c>
      <c r="BT86" s="415">
        <f>IF($F86=BT$6,($D86+$E86)/12,BR86*(1+BT$8))</f>
        <v>6309.3333333333339</v>
      </c>
      <c r="BU86" s="415">
        <f t="shared" si="273"/>
        <v>6309.3333333333339</v>
      </c>
      <c r="BV86" s="415">
        <f t="shared" si="273"/>
        <v>6309.3333333333339</v>
      </c>
      <c r="BW86" s="415">
        <f t="shared" si="273"/>
        <v>6309.3333333333339</v>
      </c>
      <c r="BX86" s="415">
        <f t="shared" si="273"/>
        <v>6309.3333333333339</v>
      </c>
      <c r="BY86" s="415">
        <f t="shared" si="273"/>
        <v>6309.3333333333339</v>
      </c>
      <c r="BZ86" s="415">
        <f t="shared" si="273"/>
        <v>6309.3333333333339</v>
      </c>
      <c r="CA86" s="415">
        <f t="shared" si="273"/>
        <v>6309.3333333333339</v>
      </c>
      <c r="CB86" s="415">
        <f t="shared" si="273"/>
        <v>6309.3333333333339</v>
      </c>
      <c r="CC86" s="415">
        <f t="shared" si="273"/>
        <v>6309.3333333333339</v>
      </c>
      <c r="CD86" s="415">
        <f t="shared" si="273"/>
        <v>6309.3333333333339</v>
      </c>
      <c r="CE86" s="415">
        <f t="shared" si="273"/>
        <v>6309.3333333333339</v>
      </c>
      <c r="CF86" s="416">
        <f t="shared" si="266"/>
        <v>75712.000000000015</v>
      </c>
    </row>
    <row r="87" spans="1:84">
      <c r="A87" s="399"/>
      <c r="B87" s="426" t="s">
        <v>137</v>
      </c>
      <c r="C87" s="420" t="s">
        <v>644</v>
      </c>
      <c r="D87" s="423">
        <v>120000</v>
      </c>
      <c r="E87" s="427"/>
      <c r="F87" s="414" t="s">
        <v>319</v>
      </c>
      <c r="G87" s="415">
        <f t="shared" si="267"/>
        <v>0</v>
      </c>
      <c r="H87" s="415">
        <f t="shared" si="268"/>
        <v>0</v>
      </c>
      <c r="I87" s="415">
        <f t="shared" si="268"/>
        <v>0</v>
      </c>
      <c r="J87" s="415">
        <f t="shared" si="268"/>
        <v>0</v>
      </c>
      <c r="K87" s="415">
        <f t="shared" si="268"/>
        <v>0</v>
      </c>
      <c r="L87" s="415">
        <f t="shared" si="268"/>
        <v>0</v>
      </c>
      <c r="M87" s="415">
        <f t="shared" si="268"/>
        <v>0</v>
      </c>
      <c r="N87" s="415">
        <f t="shared" si="268"/>
        <v>0</v>
      </c>
      <c r="O87" s="415">
        <f t="shared" si="268"/>
        <v>0</v>
      </c>
      <c r="P87" s="415">
        <f t="shared" si="268"/>
        <v>0</v>
      </c>
      <c r="Q87" s="415">
        <f t="shared" si="268"/>
        <v>0</v>
      </c>
      <c r="R87" s="415">
        <f t="shared" si="268"/>
        <v>0</v>
      </c>
      <c r="S87" s="416">
        <f t="shared" si="251"/>
        <v>0</v>
      </c>
      <c r="T87" s="415">
        <f t="shared" si="252"/>
        <v>0</v>
      </c>
      <c r="U87" s="415">
        <f t="shared" si="269"/>
        <v>0</v>
      </c>
      <c r="V87" s="415">
        <f t="shared" si="269"/>
        <v>0</v>
      </c>
      <c r="W87" s="415">
        <f t="shared" si="269"/>
        <v>0</v>
      </c>
      <c r="X87" s="415">
        <f t="shared" si="269"/>
        <v>0</v>
      </c>
      <c r="Y87" s="415">
        <f t="shared" si="269"/>
        <v>0</v>
      </c>
      <c r="Z87" s="415">
        <f t="shared" si="269"/>
        <v>0</v>
      </c>
      <c r="AA87" s="415">
        <f t="shared" si="269"/>
        <v>0</v>
      </c>
      <c r="AB87" s="415">
        <f t="shared" si="269"/>
        <v>0</v>
      </c>
      <c r="AC87" s="415">
        <f t="shared" si="269"/>
        <v>0</v>
      </c>
      <c r="AD87" s="415">
        <f t="shared" si="269"/>
        <v>0</v>
      </c>
      <c r="AE87" s="415">
        <f t="shared" si="269"/>
        <v>0</v>
      </c>
      <c r="AF87" s="416">
        <f t="shared" si="254"/>
        <v>0</v>
      </c>
      <c r="AG87" s="415">
        <f t="shared" ref="AG87:AG96" si="274">IF($F87=AG$6,($D87+$E87)/12,AE87*(1+AG$8))</f>
        <v>0</v>
      </c>
      <c r="AH87" s="415">
        <f t="shared" si="270"/>
        <v>0</v>
      </c>
      <c r="AI87" s="415">
        <f t="shared" si="270"/>
        <v>0</v>
      </c>
      <c r="AJ87" s="415">
        <f t="shared" si="270"/>
        <v>0</v>
      </c>
      <c r="AK87" s="415">
        <f t="shared" si="270"/>
        <v>0</v>
      </c>
      <c r="AL87" s="415">
        <f t="shared" si="270"/>
        <v>0</v>
      </c>
      <c r="AM87" s="415">
        <f t="shared" si="270"/>
        <v>0</v>
      </c>
      <c r="AN87" s="415">
        <f t="shared" si="270"/>
        <v>0</v>
      </c>
      <c r="AO87" s="415">
        <f t="shared" si="270"/>
        <v>0</v>
      </c>
      <c r="AP87" s="415">
        <f t="shared" si="270"/>
        <v>0</v>
      </c>
      <c r="AQ87" s="415">
        <f t="shared" si="270"/>
        <v>0</v>
      </c>
      <c r="AR87" s="415">
        <f t="shared" si="270"/>
        <v>0</v>
      </c>
      <c r="AS87" s="416">
        <f t="shared" si="257"/>
        <v>0</v>
      </c>
      <c r="AT87" s="415">
        <f t="shared" ref="AT87:AT96" si="275">IF($F87=AT$6,($D87+$E87)/12,AR87*(1+AT$8))</f>
        <v>10000</v>
      </c>
      <c r="AU87" s="415">
        <f t="shared" si="271"/>
        <v>10000</v>
      </c>
      <c r="AV87" s="415">
        <f t="shared" si="271"/>
        <v>10000</v>
      </c>
      <c r="AW87" s="415">
        <f t="shared" si="271"/>
        <v>10000</v>
      </c>
      <c r="AX87" s="415">
        <f t="shared" si="271"/>
        <v>10000</v>
      </c>
      <c r="AY87" s="415">
        <f t="shared" si="271"/>
        <v>10000</v>
      </c>
      <c r="AZ87" s="415">
        <f t="shared" si="271"/>
        <v>10000</v>
      </c>
      <c r="BA87" s="415">
        <f t="shared" si="271"/>
        <v>10000</v>
      </c>
      <c r="BB87" s="415">
        <f t="shared" si="271"/>
        <v>10000</v>
      </c>
      <c r="BC87" s="415">
        <f t="shared" si="271"/>
        <v>10000</v>
      </c>
      <c r="BD87" s="415">
        <f t="shared" si="271"/>
        <v>10000</v>
      </c>
      <c r="BE87" s="415">
        <f t="shared" si="271"/>
        <v>10000</v>
      </c>
      <c r="BF87" s="416">
        <f t="shared" si="260"/>
        <v>120000</v>
      </c>
      <c r="BG87" s="415">
        <f t="shared" ref="BG87:BG96" si="276">IF($F87=BG$6,($D87+$E87)/12,BE87*(1+BG$8))</f>
        <v>10400</v>
      </c>
      <c r="BH87" s="415">
        <f t="shared" si="272"/>
        <v>10400</v>
      </c>
      <c r="BI87" s="415">
        <f t="shared" si="272"/>
        <v>10400</v>
      </c>
      <c r="BJ87" s="415">
        <f t="shared" si="272"/>
        <v>10400</v>
      </c>
      <c r="BK87" s="415">
        <f t="shared" si="272"/>
        <v>10400</v>
      </c>
      <c r="BL87" s="415">
        <f t="shared" si="272"/>
        <v>10400</v>
      </c>
      <c r="BM87" s="415">
        <f t="shared" si="272"/>
        <v>10400</v>
      </c>
      <c r="BN87" s="415">
        <f t="shared" si="272"/>
        <v>10400</v>
      </c>
      <c r="BO87" s="415">
        <f t="shared" si="272"/>
        <v>10400</v>
      </c>
      <c r="BP87" s="415">
        <f t="shared" si="272"/>
        <v>10400</v>
      </c>
      <c r="BQ87" s="415">
        <f t="shared" si="272"/>
        <v>10400</v>
      </c>
      <c r="BR87" s="415">
        <f t="shared" si="272"/>
        <v>10400</v>
      </c>
      <c r="BS87" s="416">
        <f t="shared" si="263"/>
        <v>124800</v>
      </c>
      <c r="BT87" s="415">
        <f t="shared" ref="BT87:BT96" si="277">IF($F87=BT$6,($D87+$E87)/12,BR87*(1+BT$8))</f>
        <v>10816</v>
      </c>
      <c r="BU87" s="415">
        <f t="shared" si="273"/>
        <v>10816</v>
      </c>
      <c r="BV87" s="415">
        <f t="shared" si="273"/>
        <v>10816</v>
      </c>
      <c r="BW87" s="415">
        <f t="shared" si="273"/>
        <v>10816</v>
      </c>
      <c r="BX87" s="415">
        <f t="shared" si="273"/>
        <v>10816</v>
      </c>
      <c r="BY87" s="415">
        <f t="shared" si="273"/>
        <v>10816</v>
      </c>
      <c r="BZ87" s="415">
        <f t="shared" si="273"/>
        <v>10816</v>
      </c>
      <c r="CA87" s="415">
        <f t="shared" si="273"/>
        <v>10816</v>
      </c>
      <c r="CB87" s="415">
        <f t="shared" si="273"/>
        <v>10816</v>
      </c>
      <c r="CC87" s="415">
        <f t="shared" si="273"/>
        <v>10816</v>
      </c>
      <c r="CD87" s="415">
        <f t="shared" si="273"/>
        <v>10816</v>
      </c>
      <c r="CE87" s="415">
        <f t="shared" si="273"/>
        <v>10816</v>
      </c>
      <c r="CF87" s="416">
        <f t="shared" si="266"/>
        <v>129792</v>
      </c>
    </row>
    <row r="88" spans="1:84">
      <c r="A88" s="399"/>
      <c r="B88" s="426" t="s">
        <v>137</v>
      </c>
      <c r="C88" s="420" t="s">
        <v>645</v>
      </c>
      <c r="D88" s="423">
        <v>85000</v>
      </c>
      <c r="E88" s="427"/>
      <c r="F88" s="414" t="s">
        <v>313</v>
      </c>
      <c r="G88" s="415">
        <f t="shared" si="267"/>
        <v>0</v>
      </c>
      <c r="H88" s="415">
        <f t="shared" si="268"/>
        <v>0</v>
      </c>
      <c r="I88" s="415">
        <f t="shared" si="268"/>
        <v>0</v>
      </c>
      <c r="J88" s="415">
        <f t="shared" si="268"/>
        <v>0</v>
      </c>
      <c r="K88" s="415">
        <f t="shared" si="268"/>
        <v>0</v>
      </c>
      <c r="L88" s="415">
        <f t="shared" si="268"/>
        <v>0</v>
      </c>
      <c r="M88" s="415">
        <f t="shared" si="268"/>
        <v>0</v>
      </c>
      <c r="N88" s="415">
        <f t="shared" si="268"/>
        <v>0</v>
      </c>
      <c r="O88" s="415">
        <f t="shared" si="268"/>
        <v>0</v>
      </c>
      <c r="P88" s="415">
        <f t="shared" si="268"/>
        <v>0</v>
      </c>
      <c r="Q88" s="415">
        <f t="shared" si="268"/>
        <v>0</v>
      </c>
      <c r="R88" s="415">
        <f t="shared" si="268"/>
        <v>0</v>
      </c>
      <c r="S88" s="416">
        <f t="shared" si="251"/>
        <v>0</v>
      </c>
      <c r="T88" s="415">
        <f t="shared" si="252"/>
        <v>0</v>
      </c>
      <c r="U88" s="415">
        <f t="shared" si="269"/>
        <v>0</v>
      </c>
      <c r="V88" s="415">
        <f t="shared" si="269"/>
        <v>0</v>
      </c>
      <c r="W88" s="415">
        <f t="shared" si="269"/>
        <v>0</v>
      </c>
      <c r="X88" s="415">
        <f t="shared" si="269"/>
        <v>0</v>
      </c>
      <c r="Y88" s="415">
        <f t="shared" si="269"/>
        <v>0</v>
      </c>
      <c r="Z88" s="415">
        <f t="shared" si="269"/>
        <v>0</v>
      </c>
      <c r="AA88" s="415">
        <f t="shared" si="269"/>
        <v>0</v>
      </c>
      <c r="AB88" s="415">
        <f t="shared" si="269"/>
        <v>0</v>
      </c>
      <c r="AC88" s="415">
        <f t="shared" si="269"/>
        <v>0</v>
      </c>
      <c r="AD88" s="415">
        <f t="shared" si="269"/>
        <v>0</v>
      </c>
      <c r="AE88" s="415">
        <f t="shared" si="269"/>
        <v>0</v>
      </c>
      <c r="AF88" s="416">
        <f t="shared" si="254"/>
        <v>0</v>
      </c>
      <c r="AG88" s="415">
        <f t="shared" si="274"/>
        <v>0</v>
      </c>
      <c r="AH88" s="415">
        <f t="shared" si="270"/>
        <v>0</v>
      </c>
      <c r="AI88" s="415">
        <f t="shared" si="270"/>
        <v>0</v>
      </c>
      <c r="AJ88" s="415">
        <f t="shared" si="270"/>
        <v>0</v>
      </c>
      <c r="AK88" s="415">
        <f t="shared" si="270"/>
        <v>0</v>
      </c>
      <c r="AL88" s="415">
        <f t="shared" si="270"/>
        <v>0</v>
      </c>
      <c r="AM88" s="415">
        <f t="shared" si="270"/>
        <v>7083.333333333333</v>
      </c>
      <c r="AN88" s="415">
        <f t="shared" si="270"/>
        <v>7083.333333333333</v>
      </c>
      <c r="AO88" s="415">
        <f t="shared" si="270"/>
        <v>7083.333333333333</v>
      </c>
      <c r="AP88" s="415">
        <f t="shared" si="270"/>
        <v>7083.333333333333</v>
      </c>
      <c r="AQ88" s="415">
        <f t="shared" si="270"/>
        <v>7083.333333333333</v>
      </c>
      <c r="AR88" s="415">
        <f t="shared" si="270"/>
        <v>7083.333333333333</v>
      </c>
      <c r="AS88" s="416">
        <f t="shared" si="257"/>
        <v>42500</v>
      </c>
      <c r="AT88" s="415">
        <f t="shared" si="275"/>
        <v>7366.666666666667</v>
      </c>
      <c r="AU88" s="415">
        <f t="shared" si="271"/>
        <v>7366.666666666667</v>
      </c>
      <c r="AV88" s="415">
        <f t="shared" si="271"/>
        <v>7366.666666666667</v>
      </c>
      <c r="AW88" s="415">
        <f t="shared" si="271"/>
        <v>7366.666666666667</v>
      </c>
      <c r="AX88" s="415">
        <f t="shared" si="271"/>
        <v>7366.666666666667</v>
      </c>
      <c r="AY88" s="415">
        <f t="shared" si="271"/>
        <v>7366.666666666667</v>
      </c>
      <c r="AZ88" s="415">
        <f t="shared" si="271"/>
        <v>7366.666666666667</v>
      </c>
      <c r="BA88" s="415">
        <f t="shared" si="271"/>
        <v>7366.666666666667</v>
      </c>
      <c r="BB88" s="415">
        <f t="shared" si="271"/>
        <v>7366.666666666667</v>
      </c>
      <c r="BC88" s="415">
        <f t="shared" si="271"/>
        <v>7366.666666666667</v>
      </c>
      <c r="BD88" s="415">
        <f t="shared" si="271"/>
        <v>7366.666666666667</v>
      </c>
      <c r="BE88" s="415">
        <f t="shared" si="271"/>
        <v>7366.666666666667</v>
      </c>
      <c r="BF88" s="416">
        <f t="shared" si="260"/>
        <v>88400.000000000015</v>
      </c>
      <c r="BG88" s="415">
        <f t="shared" si="276"/>
        <v>7661.3333333333339</v>
      </c>
      <c r="BH88" s="415">
        <f t="shared" si="272"/>
        <v>7661.3333333333339</v>
      </c>
      <c r="BI88" s="415">
        <f t="shared" si="272"/>
        <v>7661.3333333333339</v>
      </c>
      <c r="BJ88" s="415">
        <f t="shared" si="272"/>
        <v>7661.3333333333339</v>
      </c>
      <c r="BK88" s="415">
        <f t="shared" si="272"/>
        <v>7661.3333333333339</v>
      </c>
      <c r="BL88" s="415">
        <f t="shared" si="272"/>
        <v>7661.3333333333339</v>
      </c>
      <c r="BM88" s="415">
        <f t="shared" si="272"/>
        <v>7661.3333333333339</v>
      </c>
      <c r="BN88" s="415">
        <f t="shared" si="272"/>
        <v>7661.3333333333339</v>
      </c>
      <c r="BO88" s="415">
        <f t="shared" si="272"/>
        <v>7661.3333333333339</v>
      </c>
      <c r="BP88" s="415">
        <f t="shared" si="272"/>
        <v>7661.3333333333339</v>
      </c>
      <c r="BQ88" s="415">
        <f t="shared" si="272"/>
        <v>7661.3333333333339</v>
      </c>
      <c r="BR88" s="415">
        <f t="shared" si="272"/>
        <v>7661.3333333333339</v>
      </c>
      <c r="BS88" s="416">
        <f t="shared" si="263"/>
        <v>91936</v>
      </c>
      <c r="BT88" s="415">
        <f t="shared" si="277"/>
        <v>7967.7866666666678</v>
      </c>
      <c r="BU88" s="415">
        <f t="shared" si="273"/>
        <v>7967.7866666666678</v>
      </c>
      <c r="BV88" s="415">
        <f t="shared" si="273"/>
        <v>7967.7866666666678</v>
      </c>
      <c r="BW88" s="415">
        <f t="shared" si="273"/>
        <v>7967.7866666666678</v>
      </c>
      <c r="BX88" s="415">
        <f t="shared" si="273"/>
        <v>7967.7866666666678</v>
      </c>
      <c r="BY88" s="415">
        <f t="shared" si="273"/>
        <v>7967.7866666666678</v>
      </c>
      <c r="BZ88" s="415">
        <f t="shared" si="273"/>
        <v>7967.7866666666678</v>
      </c>
      <c r="CA88" s="415">
        <f t="shared" si="273"/>
        <v>7967.7866666666678</v>
      </c>
      <c r="CB88" s="415">
        <f t="shared" si="273"/>
        <v>7967.7866666666678</v>
      </c>
      <c r="CC88" s="415">
        <f t="shared" si="273"/>
        <v>7967.7866666666678</v>
      </c>
      <c r="CD88" s="415">
        <f t="shared" si="273"/>
        <v>7967.7866666666678</v>
      </c>
      <c r="CE88" s="415">
        <f t="shared" si="273"/>
        <v>7967.7866666666678</v>
      </c>
      <c r="CF88" s="416">
        <f t="shared" si="266"/>
        <v>95613.440000000017</v>
      </c>
    </row>
    <row r="89" spans="1:84">
      <c r="A89" s="399"/>
      <c r="B89" s="426" t="s">
        <v>137</v>
      </c>
      <c r="C89" s="420" t="s">
        <v>645</v>
      </c>
      <c r="D89" s="423">
        <v>85000</v>
      </c>
      <c r="E89" s="427"/>
      <c r="F89" s="414" t="s">
        <v>319</v>
      </c>
      <c r="G89" s="415">
        <f t="shared" si="267"/>
        <v>0</v>
      </c>
      <c r="H89" s="415">
        <f t="shared" si="268"/>
        <v>0</v>
      </c>
      <c r="I89" s="415">
        <f t="shared" si="268"/>
        <v>0</v>
      </c>
      <c r="J89" s="415">
        <f t="shared" si="268"/>
        <v>0</v>
      </c>
      <c r="K89" s="415">
        <f t="shared" si="268"/>
        <v>0</v>
      </c>
      <c r="L89" s="415">
        <f t="shared" si="268"/>
        <v>0</v>
      </c>
      <c r="M89" s="415">
        <f t="shared" si="268"/>
        <v>0</v>
      </c>
      <c r="N89" s="415">
        <f t="shared" si="268"/>
        <v>0</v>
      </c>
      <c r="O89" s="415">
        <f t="shared" si="268"/>
        <v>0</v>
      </c>
      <c r="P89" s="415">
        <f t="shared" si="268"/>
        <v>0</v>
      </c>
      <c r="Q89" s="415">
        <f t="shared" si="268"/>
        <v>0</v>
      </c>
      <c r="R89" s="415">
        <f t="shared" si="268"/>
        <v>0</v>
      </c>
      <c r="S89" s="416">
        <f t="shared" si="251"/>
        <v>0</v>
      </c>
      <c r="T89" s="415">
        <f t="shared" si="252"/>
        <v>0</v>
      </c>
      <c r="U89" s="415">
        <f t="shared" si="269"/>
        <v>0</v>
      </c>
      <c r="V89" s="415">
        <f t="shared" si="269"/>
        <v>0</v>
      </c>
      <c r="W89" s="415">
        <f t="shared" si="269"/>
        <v>0</v>
      </c>
      <c r="X89" s="415">
        <f t="shared" si="269"/>
        <v>0</v>
      </c>
      <c r="Y89" s="415">
        <f t="shared" si="269"/>
        <v>0</v>
      </c>
      <c r="Z89" s="415">
        <f t="shared" si="269"/>
        <v>0</v>
      </c>
      <c r="AA89" s="415">
        <f t="shared" si="269"/>
        <v>0</v>
      </c>
      <c r="AB89" s="415">
        <f t="shared" si="269"/>
        <v>0</v>
      </c>
      <c r="AC89" s="415">
        <f t="shared" si="269"/>
        <v>0</v>
      </c>
      <c r="AD89" s="415">
        <f t="shared" si="269"/>
        <v>0</v>
      </c>
      <c r="AE89" s="415">
        <f t="shared" si="269"/>
        <v>0</v>
      </c>
      <c r="AF89" s="416">
        <f t="shared" si="254"/>
        <v>0</v>
      </c>
      <c r="AG89" s="415">
        <f t="shared" si="274"/>
        <v>0</v>
      </c>
      <c r="AH89" s="415">
        <f t="shared" si="270"/>
        <v>0</v>
      </c>
      <c r="AI89" s="415">
        <f t="shared" si="270"/>
        <v>0</v>
      </c>
      <c r="AJ89" s="415">
        <f t="shared" si="270"/>
        <v>0</v>
      </c>
      <c r="AK89" s="415">
        <f t="shared" si="270"/>
        <v>0</v>
      </c>
      <c r="AL89" s="415">
        <f t="shared" si="270"/>
        <v>0</v>
      </c>
      <c r="AM89" s="415">
        <f t="shared" si="270"/>
        <v>0</v>
      </c>
      <c r="AN89" s="415">
        <f t="shared" si="270"/>
        <v>0</v>
      </c>
      <c r="AO89" s="415">
        <f t="shared" si="270"/>
        <v>0</v>
      </c>
      <c r="AP89" s="415">
        <f t="shared" si="270"/>
        <v>0</v>
      </c>
      <c r="AQ89" s="415">
        <f t="shared" si="270"/>
        <v>0</v>
      </c>
      <c r="AR89" s="415">
        <f t="shared" si="270"/>
        <v>0</v>
      </c>
      <c r="AS89" s="416">
        <f t="shared" si="257"/>
        <v>0</v>
      </c>
      <c r="AT89" s="415">
        <f t="shared" si="275"/>
        <v>7083.333333333333</v>
      </c>
      <c r="AU89" s="415">
        <f t="shared" si="271"/>
        <v>7083.333333333333</v>
      </c>
      <c r="AV89" s="415">
        <f t="shared" si="271"/>
        <v>7083.333333333333</v>
      </c>
      <c r="AW89" s="415">
        <f t="shared" si="271"/>
        <v>7083.333333333333</v>
      </c>
      <c r="AX89" s="415">
        <f t="shared" si="271"/>
        <v>7083.333333333333</v>
      </c>
      <c r="AY89" s="415">
        <f t="shared" si="271"/>
        <v>7083.333333333333</v>
      </c>
      <c r="AZ89" s="415">
        <f t="shared" si="271"/>
        <v>7083.333333333333</v>
      </c>
      <c r="BA89" s="415">
        <f t="shared" si="271"/>
        <v>7083.333333333333</v>
      </c>
      <c r="BB89" s="415">
        <f t="shared" si="271"/>
        <v>7083.333333333333</v>
      </c>
      <c r="BC89" s="415">
        <f t="shared" si="271"/>
        <v>7083.333333333333</v>
      </c>
      <c r="BD89" s="415">
        <f t="shared" si="271"/>
        <v>7083.333333333333</v>
      </c>
      <c r="BE89" s="415">
        <f t="shared" si="271"/>
        <v>7083.333333333333</v>
      </c>
      <c r="BF89" s="416">
        <f t="shared" si="260"/>
        <v>85000</v>
      </c>
      <c r="BG89" s="415">
        <f t="shared" si="276"/>
        <v>7366.666666666667</v>
      </c>
      <c r="BH89" s="415">
        <f t="shared" si="272"/>
        <v>7366.666666666667</v>
      </c>
      <c r="BI89" s="415">
        <f t="shared" si="272"/>
        <v>7366.666666666667</v>
      </c>
      <c r="BJ89" s="415">
        <f t="shared" si="272"/>
        <v>7366.666666666667</v>
      </c>
      <c r="BK89" s="415">
        <f t="shared" si="272"/>
        <v>7366.666666666667</v>
      </c>
      <c r="BL89" s="415">
        <f t="shared" si="272"/>
        <v>7366.666666666667</v>
      </c>
      <c r="BM89" s="415">
        <f t="shared" si="272"/>
        <v>7366.666666666667</v>
      </c>
      <c r="BN89" s="415">
        <f t="shared" si="272"/>
        <v>7366.666666666667</v>
      </c>
      <c r="BO89" s="415">
        <f t="shared" si="272"/>
        <v>7366.666666666667</v>
      </c>
      <c r="BP89" s="415">
        <f t="shared" si="272"/>
        <v>7366.666666666667</v>
      </c>
      <c r="BQ89" s="415">
        <f t="shared" si="272"/>
        <v>7366.666666666667</v>
      </c>
      <c r="BR89" s="415">
        <f t="shared" si="272"/>
        <v>7366.666666666667</v>
      </c>
      <c r="BS89" s="416">
        <f t="shared" si="263"/>
        <v>88400.000000000015</v>
      </c>
      <c r="BT89" s="415">
        <f t="shared" si="277"/>
        <v>7661.3333333333339</v>
      </c>
      <c r="BU89" s="415">
        <f t="shared" si="273"/>
        <v>7661.3333333333339</v>
      </c>
      <c r="BV89" s="415">
        <f t="shared" si="273"/>
        <v>7661.3333333333339</v>
      </c>
      <c r="BW89" s="415">
        <f t="shared" si="273"/>
        <v>7661.3333333333339</v>
      </c>
      <c r="BX89" s="415">
        <f t="shared" si="273"/>
        <v>7661.3333333333339</v>
      </c>
      <c r="BY89" s="415">
        <f t="shared" si="273"/>
        <v>7661.3333333333339</v>
      </c>
      <c r="BZ89" s="415">
        <f t="shared" si="273"/>
        <v>7661.3333333333339</v>
      </c>
      <c r="CA89" s="415">
        <f t="shared" si="273"/>
        <v>7661.3333333333339</v>
      </c>
      <c r="CB89" s="415">
        <f t="shared" si="273"/>
        <v>7661.3333333333339</v>
      </c>
      <c r="CC89" s="415">
        <f t="shared" si="273"/>
        <v>7661.3333333333339</v>
      </c>
      <c r="CD89" s="415">
        <f t="shared" si="273"/>
        <v>7661.3333333333339</v>
      </c>
      <c r="CE89" s="415">
        <f t="shared" si="273"/>
        <v>7661.3333333333339</v>
      </c>
      <c r="CF89" s="416">
        <f t="shared" si="266"/>
        <v>91936</v>
      </c>
    </row>
    <row r="90" spans="1:84">
      <c r="A90" s="399"/>
      <c r="B90" s="426" t="s">
        <v>137</v>
      </c>
      <c r="C90" s="420" t="s">
        <v>646</v>
      </c>
      <c r="D90" s="423">
        <v>130000</v>
      </c>
      <c r="E90" s="427"/>
      <c r="F90" s="414" t="s">
        <v>319</v>
      </c>
      <c r="G90" s="415">
        <f t="shared" si="267"/>
        <v>0</v>
      </c>
      <c r="H90" s="415">
        <f t="shared" si="268"/>
        <v>0</v>
      </c>
      <c r="I90" s="415">
        <f t="shared" si="268"/>
        <v>0</v>
      </c>
      <c r="J90" s="415">
        <f t="shared" si="268"/>
        <v>0</v>
      </c>
      <c r="K90" s="415">
        <f t="shared" si="268"/>
        <v>0</v>
      </c>
      <c r="L90" s="415">
        <f t="shared" si="268"/>
        <v>0</v>
      </c>
      <c r="M90" s="415">
        <f t="shared" si="268"/>
        <v>0</v>
      </c>
      <c r="N90" s="415">
        <f t="shared" si="268"/>
        <v>0</v>
      </c>
      <c r="O90" s="415">
        <f t="shared" si="268"/>
        <v>0</v>
      </c>
      <c r="P90" s="415">
        <f t="shared" si="268"/>
        <v>0</v>
      </c>
      <c r="Q90" s="415">
        <f t="shared" si="268"/>
        <v>0</v>
      </c>
      <c r="R90" s="415">
        <f t="shared" si="268"/>
        <v>0</v>
      </c>
      <c r="S90" s="416">
        <f t="shared" si="251"/>
        <v>0</v>
      </c>
      <c r="T90" s="415">
        <f t="shared" si="252"/>
        <v>0</v>
      </c>
      <c r="U90" s="415">
        <f t="shared" si="269"/>
        <v>0</v>
      </c>
      <c r="V90" s="415">
        <f t="shared" si="269"/>
        <v>0</v>
      </c>
      <c r="W90" s="415">
        <f t="shared" si="269"/>
        <v>0</v>
      </c>
      <c r="X90" s="415">
        <f t="shared" si="269"/>
        <v>0</v>
      </c>
      <c r="Y90" s="415">
        <f t="shared" si="269"/>
        <v>0</v>
      </c>
      <c r="Z90" s="415">
        <f t="shared" si="269"/>
        <v>0</v>
      </c>
      <c r="AA90" s="415">
        <f t="shared" si="269"/>
        <v>0</v>
      </c>
      <c r="AB90" s="415">
        <f t="shared" si="269"/>
        <v>0</v>
      </c>
      <c r="AC90" s="415">
        <f t="shared" si="269"/>
        <v>0</v>
      </c>
      <c r="AD90" s="415">
        <f t="shared" si="269"/>
        <v>0</v>
      </c>
      <c r="AE90" s="415">
        <f t="shared" si="269"/>
        <v>0</v>
      </c>
      <c r="AF90" s="416">
        <f t="shared" si="254"/>
        <v>0</v>
      </c>
      <c r="AG90" s="415">
        <f t="shared" si="274"/>
        <v>0</v>
      </c>
      <c r="AH90" s="415">
        <f t="shared" si="270"/>
        <v>0</v>
      </c>
      <c r="AI90" s="415">
        <f t="shared" si="270"/>
        <v>0</v>
      </c>
      <c r="AJ90" s="415">
        <f t="shared" si="270"/>
        <v>0</v>
      </c>
      <c r="AK90" s="415">
        <f t="shared" si="270"/>
        <v>0</v>
      </c>
      <c r="AL90" s="415">
        <f t="shared" si="270"/>
        <v>0</v>
      </c>
      <c r="AM90" s="415">
        <f t="shared" si="270"/>
        <v>0</v>
      </c>
      <c r="AN90" s="415">
        <f t="shared" si="270"/>
        <v>0</v>
      </c>
      <c r="AO90" s="415">
        <f t="shared" si="270"/>
        <v>0</v>
      </c>
      <c r="AP90" s="415">
        <f t="shared" si="270"/>
        <v>0</v>
      </c>
      <c r="AQ90" s="415">
        <f t="shared" si="270"/>
        <v>0</v>
      </c>
      <c r="AR90" s="415">
        <f t="shared" si="270"/>
        <v>0</v>
      </c>
      <c r="AS90" s="416">
        <f t="shared" si="257"/>
        <v>0</v>
      </c>
      <c r="AT90" s="415">
        <f t="shared" si="275"/>
        <v>10833.333333333334</v>
      </c>
      <c r="AU90" s="415">
        <f t="shared" si="271"/>
        <v>10833.333333333334</v>
      </c>
      <c r="AV90" s="415">
        <f t="shared" si="271"/>
        <v>10833.333333333334</v>
      </c>
      <c r="AW90" s="415">
        <f t="shared" si="271"/>
        <v>10833.333333333334</v>
      </c>
      <c r="AX90" s="415">
        <f t="shared" si="271"/>
        <v>10833.333333333334</v>
      </c>
      <c r="AY90" s="415">
        <f t="shared" si="271"/>
        <v>10833.333333333334</v>
      </c>
      <c r="AZ90" s="415">
        <f t="shared" si="271"/>
        <v>10833.333333333334</v>
      </c>
      <c r="BA90" s="415">
        <f t="shared" si="271"/>
        <v>10833.333333333334</v>
      </c>
      <c r="BB90" s="415">
        <f t="shared" si="271"/>
        <v>10833.333333333334</v>
      </c>
      <c r="BC90" s="415">
        <f t="shared" si="271"/>
        <v>10833.333333333334</v>
      </c>
      <c r="BD90" s="415">
        <f t="shared" si="271"/>
        <v>10833.333333333334</v>
      </c>
      <c r="BE90" s="415">
        <f t="shared" si="271"/>
        <v>10833.333333333334</v>
      </c>
      <c r="BF90" s="416">
        <f t="shared" si="260"/>
        <v>129999.99999999999</v>
      </c>
      <c r="BG90" s="415">
        <f t="shared" si="276"/>
        <v>11266.666666666668</v>
      </c>
      <c r="BH90" s="415">
        <f t="shared" si="272"/>
        <v>11266.666666666668</v>
      </c>
      <c r="BI90" s="415">
        <f t="shared" si="272"/>
        <v>11266.666666666668</v>
      </c>
      <c r="BJ90" s="415">
        <f t="shared" si="272"/>
        <v>11266.666666666668</v>
      </c>
      <c r="BK90" s="415">
        <f t="shared" si="272"/>
        <v>11266.666666666668</v>
      </c>
      <c r="BL90" s="415">
        <f t="shared" si="272"/>
        <v>11266.666666666668</v>
      </c>
      <c r="BM90" s="415">
        <f t="shared" si="272"/>
        <v>11266.666666666668</v>
      </c>
      <c r="BN90" s="415">
        <f t="shared" si="272"/>
        <v>11266.666666666668</v>
      </c>
      <c r="BO90" s="415">
        <f t="shared" si="272"/>
        <v>11266.666666666668</v>
      </c>
      <c r="BP90" s="415">
        <f t="shared" si="272"/>
        <v>11266.666666666668</v>
      </c>
      <c r="BQ90" s="415">
        <f t="shared" si="272"/>
        <v>11266.666666666668</v>
      </c>
      <c r="BR90" s="415">
        <f t="shared" si="272"/>
        <v>11266.666666666668</v>
      </c>
      <c r="BS90" s="416">
        <f t="shared" si="263"/>
        <v>135200.00000000003</v>
      </c>
      <c r="BT90" s="415">
        <f t="shared" si="277"/>
        <v>11717.333333333336</v>
      </c>
      <c r="BU90" s="415">
        <f t="shared" si="273"/>
        <v>11717.333333333336</v>
      </c>
      <c r="BV90" s="415">
        <f t="shared" si="273"/>
        <v>11717.333333333336</v>
      </c>
      <c r="BW90" s="415">
        <f t="shared" si="273"/>
        <v>11717.333333333336</v>
      </c>
      <c r="BX90" s="415">
        <f t="shared" si="273"/>
        <v>11717.333333333336</v>
      </c>
      <c r="BY90" s="415">
        <f t="shared" si="273"/>
        <v>11717.333333333336</v>
      </c>
      <c r="BZ90" s="415">
        <f t="shared" si="273"/>
        <v>11717.333333333336</v>
      </c>
      <c r="CA90" s="415">
        <f t="shared" si="273"/>
        <v>11717.333333333336</v>
      </c>
      <c r="CB90" s="415">
        <f t="shared" si="273"/>
        <v>11717.333333333336</v>
      </c>
      <c r="CC90" s="415">
        <f t="shared" si="273"/>
        <v>11717.333333333336</v>
      </c>
      <c r="CD90" s="415">
        <f t="shared" si="273"/>
        <v>11717.333333333336</v>
      </c>
      <c r="CE90" s="415">
        <f t="shared" si="273"/>
        <v>11717.333333333336</v>
      </c>
      <c r="CF90" s="416">
        <f t="shared" si="266"/>
        <v>140608.00000000006</v>
      </c>
    </row>
    <row r="91" spans="1:84">
      <c r="A91" s="399"/>
      <c r="B91" s="426" t="s">
        <v>137</v>
      </c>
      <c r="C91" s="420" t="s">
        <v>646</v>
      </c>
      <c r="D91" s="423">
        <v>130000</v>
      </c>
      <c r="E91" s="427"/>
      <c r="F91" s="414" t="s">
        <v>313</v>
      </c>
      <c r="G91" s="415">
        <f t="shared" si="267"/>
        <v>0</v>
      </c>
      <c r="H91" s="415">
        <f t="shared" si="268"/>
        <v>0</v>
      </c>
      <c r="I91" s="415">
        <f t="shared" si="268"/>
        <v>0</v>
      </c>
      <c r="J91" s="415">
        <f t="shared" si="268"/>
        <v>0</v>
      </c>
      <c r="K91" s="415">
        <f t="shared" si="268"/>
        <v>0</v>
      </c>
      <c r="L91" s="415">
        <f t="shared" si="268"/>
        <v>0</v>
      </c>
      <c r="M91" s="415">
        <f t="shared" si="268"/>
        <v>0</v>
      </c>
      <c r="N91" s="415">
        <f t="shared" si="268"/>
        <v>0</v>
      </c>
      <c r="O91" s="415">
        <f t="shared" si="268"/>
        <v>0</v>
      </c>
      <c r="P91" s="415">
        <f t="shared" si="268"/>
        <v>0</v>
      </c>
      <c r="Q91" s="415">
        <f t="shared" si="268"/>
        <v>0</v>
      </c>
      <c r="R91" s="415">
        <f t="shared" si="268"/>
        <v>0</v>
      </c>
      <c r="S91" s="416">
        <f t="shared" si="251"/>
        <v>0</v>
      </c>
      <c r="T91" s="415">
        <f t="shared" si="252"/>
        <v>0</v>
      </c>
      <c r="U91" s="415">
        <f t="shared" si="269"/>
        <v>0</v>
      </c>
      <c r="V91" s="415">
        <f t="shared" si="269"/>
        <v>0</v>
      </c>
      <c r="W91" s="415">
        <f t="shared" si="269"/>
        <v>0</v>
      </c>
      <c r="X91" s="415">
        <f t="shared" si="269"/>
        <v>0</v>
      </c>
      <c r="Y91" s="415">
        <f t="shared" si="269"/>
        <v>0</v>
      </c>
      <c r="Z91" s="415">
        <f t="shared" si="269"/>
        <v>0</v>
      </c>
      <c r="AA91" s="415">
        <f t="shared" si="269"/>
        <v>0</v>
      </c>
      <c r="AB91" s="415">
        <f t="shared" si="269"/>
        <v>0</v>
      </c>
      <c r="AC91" s="415">
        <f t="shared" si="269"/>
        <v>0</v>
      </c>
      <c r="AD91" s="415">
        <f t="shared" si="269"/>
        <v>0</v>
      </c>
      <c r="AE91" s="415">
        <f t="shared" si="269"/>
        <v>0</v>
      </c>
      <c r="AF91" s="416">
        <f t="shared" si="254"/>
        <v>0</v>
      </c>
      <c r="AG91" s="415">
        <f t="shared" si="274"/>
        <v>0</v>
      </c>
      <c r="AH91" s="415">
        <f t="shared" si="270"/>
        <v>0</v>
      </c>
      <c r="AI91" s="415">
        <f t="shared" si="270"/>
        <v>0</v>
      </c>
      <c r="AJ91" s="415">
        <f t="shared" si="270"/>
        <v>0</v>
      </c>
      <c r="AK91" s="415">
        <f t="shared" si="270"/>
        <v>0</v>
      </c>
      <c r="AL91" s="415">
        <f t="shared" si="270"/>
        <v>0</v>
      </c>
      <c r="AM91" s="415">
        <f t="shared" si="270"/>
        <v>10833.333333333334</v>
      </c>
      <c r="AN91" s="415">
        <f t="shared" si="270"/>
        <v>10833.333333333334</v>
      </c>
      <c r="AO91" s="415">
        <f t="shared" si="270"/>
        <v>10833.333333333334</v>
      </c>
      <c r="AP91" s="415">
        <f t="shared" si="270"/>
        <v>10833.333333333334</v>
      </c>
      <c r="AQ91" s="415">
        <f t="shared" si="270"/>
        <v>10833.333333333334</v>
      </c>
      <c r="AR91" s="415">
        <f t="shared" si="270"/>
        <v>10833.333333333334</v>
      </c>
      <c r="AS91" s="416">
        <f t="shared" si="257"/>
        <v>65000.000000000007</v>
      </c>
      <c r="AT91" s="415">
        <f t="shared" si="275"/>
        <v>11266.666666666668</v>
      </c>
      <c r="AU91" s="415">
        <f t="shared" si="271"/>
        <v>11266.666666666668</v>
      </c>
      <c r="AV91" s="415">
        <f t="shared" si="271"/>
        <v>11266.666666666668</v>
      </c>
      <c r="AW91" s="415">
        <f t="shared" si="271"/>
        <v>11266.666666666668</v>
      </c>
      <c r="AX91" s="415">
        <f t="shared" si="271"/>
        <v>11266.666666666668</v>
      </c>
      <c r="AY91" s="415">
        <f t="shared" si="271"/>
        <v>11266.666666666668</v>
      </c>
      <c r="AZ91" s="415">
        <f t="shared" si="271"/>
        <v>11266.666666666668</v>
      </c>
      <c r="BA91" s="415">
        <f t="shared" si="271"/>
        <v>11266.666666666668</v>
      </c>
      <c r="BB91" s="415">
        <f t="shared" si="271"/>
        <v>11266.666666666668</v>
      </c>
      <c r="BC91" s="415">
        <f t="shared" si="271"/>
        <v>11266.666666666668</v>
      </c>
      <c r="BD91" s="415">
        <f t="shared" si="271"/>
        <v>11266.666666666668</v>
      </c>
      <c r="BE91" s="415">
        <f t="shared" si="271"/>
        <v>11266.666666666668</v>
      </c>
      <c r="BF91" s="416">
        <f t="shared" si="260"/>
        <v>135200.00000000003</v>
      </c>
      <c r="BG91" s="415">
        <f t="shared" si="276"/>
        <v>11717.333333333336</v>
      </c>
      <c r="BH91" s="415">
        <f t="shared" si="272"/>
        <v>11717.333333333336</v>
      </c>
      <c r="BI91" s="415">
        <f t="shared" si="272"/>
        <v>11717.333333333336</v>
      </c>
      <c r="BJ91" s="415">
        <f t="shared" si="272"/>
        <v>11717.333333333336</v>
      </c>
      <c r="BK91" s="415">
        <f t="shared" si="272"/>
        <v>11717.333333333336</v>
      </c>
      <c r="BL91" s="415">
        <f t="shared" si="272"/>
        <v>11717.333333333336</v>
      </c>
      <c r="BM91" s="415">
        <f t="shared" si="272"/>
        <v>11717.333333333336</v>
      </c>
      <c r="BN91" s="415">
        <f t="shared" si="272"/>
        <v>11717.333333333336</v>
      </c>
      <c r="BO91" s="415">
        <f t="shared" si="272"/>
        <v>11717.333333333336</v>
      </c>
      <c r="BP91" s="415">
        <f t="shared" si="272"/>
        <v>11717.333333333336</v>
      </c>
      <c r="BQ91" s="415">
        <f t="shared" si="272"/>
        <v>11717.333333333336</v>
      </c>
      <c r="BR91" s="415">
        <f t="shared" si="272"/>
        <v>11717.333333333336</v>
      </c>
      <c r="BS91" s="416">
        <f t="shared" si="263"/>
        <v>140608.00000000006</v>
      </c>
      <c r="BT91" s="415">
        <f t="shared" si="277"/>
        <v>12186.02666666667</v>
      </c>
      <c r="BU91" s="415">
        <f t="shared" si="273"/>
        <v>12186.02666666667</v>
      </c>
      <c r="BV91" s="415">
        <f t="shared" si="273"/>
        <v>12186.02666666667</v>
      </c>
      <c r="BW91" s="415">
        <f t="shared" si="273"/>
        <v>12186.02666666667</v>
      </c>
      <c r="BX91" s="415">
        <f t="shared" si="273"/>
        <v>12186.02666666667</v>
      </c>
      <c r="BY91" s="415">
        <f t="shared" si="273"/>
        <v>12186.02666666667</v>
      </c>
      <c r="BZ91" s="415">
        <f t="shared" si="273"/>
        <v>12186.02666666667</v>
      </c>
      <c r="CA91" s="415">
        <f t="shared" si="273"/>
        <v>12186.02666666667</v>
      </c>
      <c r="CB91" s="415">
        <f t="shared" si="273"/>
        <v>12186.02666666667</v>
      </c>
      <c r="CC91" s="415">
        <f t="shared" si="273"/>
        <v>12186.02666666667</v>
      </c>
      <c r="CD91" s="415">
        <f t="shared" si="273"/>
        <v>12186.02666666667</v>
      </c>
      <c r="CE91" s="415">
        <f t="shared" si="273"/>
        <v>12186.02666666667</v>
      </c>
      <c r="CF91" s="416">
        <f t="shared" si="266"/>
        <v>146232.32000000004</v>
      </c>
    </row>
    <row r="92" spans="1:84">
      <c r="A92" s="399"/>
      <c r="B92" s="426" t="s">
        <v>137</v>
      </c>
      <c r="C92" s="420" t="s">
        <v>647</v>
      </c>
      <c r="D92" s="423">
        <v>180000</v>
      </c>
      <c r="E92" s="427"/>
      <c r="F92" s="414" t="s">
        <v>319</v>
      </c>
      <c r="G92" s="415">
        <f t="shared" si="267"/>
        <v>0</v>
      </c>
      <c r="H92" s="415">
        <f t="shared" si="268"/>
        <v>0</v>
      </c>
      <c r="I92" s="415">
        <f t="shared" si="268"/>
        <v>0</v>
      </c>
      <c r="J92" s="415">
        <f t="shared" si="268"/>
        <v>0</v>
      </c>
      <c r="K92" s="415">
        <f t="shared" si="268"/>
        <v>0</v>
      </c>
      <c r="L92" s="415">
        <f t="shared" si="268"/>
        <v>0</v>
      </c>
      <c r="M92" s="415">
        <f t="shared" si="268"/>
        <v>0</v>
      </c>
      <c r="N92" s="415">
        <f t="shared" si="268"/>
        <v>0</v>
      </c>
      <c r="O92" s="415">
        <f t="shared" si="268"/>
        <v>0</v>
      </c>
      <c r="P92" s="415">
        <f t="shared" si="268"/>
        <v>0</v>
      </c>
      <c r="Q92" s="415">
        <f t="shared" si="268"/>
        <v>0</v>
      </c>
      <c r="R92" s="415">
        <f t="shared" si="268"/>
        <v>0</v>
      </c>
      <c r="S92" s="416">
        <f t="shared" si="251"/>
        <v>0</v>
      </c>
      <c r="T92" s="415">
        <f t="shared" si="252"/>
        <v>0</v>
      </c>
      <c r="U92" s="415">
        <f t="shared" si="269"/>
        <v>0</v>
      </c>
      <c r="V92" s="415">
        <f t="shared" si="269"/>
        <v>0</v>
      </c>
      <c r="W92" s="415">
        <f t="shared" si="269"/>
        <v>0</v>
      </c>
      <c r="X92" s="415">
        <f t="shared" si="269"/>
        <v>0</v>
      </c>
      <c r="Y92" s="415">
        <f t="shared" si="269"/>
        <v>0</v>
      </c>
      <c r="Z92" s="415">
        <f t="shared" si="269"/>
        <v>0</v>
      </c>
      <c r="AA92" s="415">
        <f t="shared" si="269"/>
        <v>0</v>
      </c>
      <c r="AB92" s="415">
        <f t="shared" si="269"/>
        <v>0</v>
      </c>
      <c r="AC92" s="415">
        <f t="shared" si="269"/>
        <v>0</v>
      </c>
      <c r="AD92" s="415">
        <f t="shared" si="269"/>
        <v>0</v>
      </c>
      <c r="AE92" s="415">
        <f t="shared" si="269"/>
        <v>0</v>
      </c>
      <c r="AF92" s="416">
        <f t="shared" si="254"/>
        <v>0</v>
      </c>
      <c r="AG92" s="415">
        <f t="shared" si="274"/>
        <v>0</v>
      </c>
      <c r="AH92" s="415">
        <f t="shared" si="270"/>
        <v>0</v>
      </c>
      <c r="AI92" s="415">
        <f t="shared" si="270"/>
        <v>0</v>
      </c>
      <c r="AJ92" s="415">
        <f t="shared" si="270"/>
        <v>0</v>
      </c>
      <c r="AK92" s="415">
        <f t="shared" si="270"/>
        <v>0</v>
      </c>
      <c r="AL92" s="415">
        <f t="shared" si="270"/>
        <v>0</v>
      </c>
      <c r="AM92" s="415">
        <f t="shared" si="270"/>
        <v>0</v>
      </c>
      <c r="AN92" s="415">
        <f t="shared" si="270"/>
        <v>0</v>
      </c>
      <c r="AO92" s="415">
        <f t="shared" si="270"/>
        <v>0</v>
      </c>
      <c r="AP92" s="415">
        <f t="shared" si="270"/>
        <v>0</v>
      </c>
      <c r="AQ92" s="415">
        <f t="shared" si="270"/>
        <v>0</v>
      </c>
      <c r="AR92" s="415">
        <f t="shared" si="270"/>
        <v>0</v>
      </c>
      <c r="AS92" s="416">
        <f t="shared" si="257"/>
        <v>0</v>
      </c>
      <c r="AT92" s="415">
        <f t="shared" si="275"/>
        <v>15000</v>
      </c>
      <c r="AU92" s="415">
        <f t="shared" si="271"/>
        <v>15000</v>
      </c>
      <c r="AV92" s="415">
        <f t="shared" si="271"/>
        <v>15000</v>
      </c>
      <c r="AW92" s="415">
        <f t="shared" si="271"/>
        <v>15000</v>
      </c>
      <c r="AX92" s="415">
        <f t="shared" si="271"/>
        <v>15000</v>
      </c>
      <c r="AY92" s="415">
        <f t="shared" si="271"/>
        <v>15000</v>
      </c>
      <c r="AZ92" s="415">
        <f t="shared" si="271"/>
        <v>15000</v>
      </c>
      <c r="BA92" s="415">
        <f t="shared" si="271"/>
        <v>15000</v>
      </c>
      <c r="BB92" s="415">
        <f t="shared" si="271"/>
        <v>15000</v>
      </c>
      <c r="BC92" s="415">
        <f t="shared" si="271"/>
        <v>15000</v>
      </c>
      <c r="BD92" s="415">
        <f t="shared" si="271"/>
        <v>15000</v>
      </c>
      <c r="BE92" s="415">
        <f t="shared" si="271"/>
        <v>15000</v>
      </c>
      <c r="BF92" s="416">
        <f t="shared" si="260"/>
        <v>180000</v>
      </c>
      <c r="BG92" s="415">
        <f t="shared" si="276"/>
        <v>15600</v>
      </c>
      <c r="BH92" s="415">
        <f t="shared" si="272"/>
        <v>15600</v>
      </c>
      <c r="BI92" s="415">
        <f t="shared" si="272"/>
        <v>15600</v>
      </c>
      <c r="BJ92" s="415">
        <f t="shared" si="272"/>
        <v>15600</v>
      </c>
      <c r="BK92" s="415">
        <f t="shared" si="272"/>
        <v>15600</v>
      </c>
      <c r="BL92" s="415">
        <f t="shared" si="272"/>
        <v>15600</v>
      </c>
      <c r="BM92" s="415">
        <f t="shared" si="272"/>
        <v>15600</v>
      </c>
      <c r="BN92" s="415">
        <f t="shared" si="272"/>
        <v>15600</v>
      </c>
      <c r="BO92" s="415">
        <f t="shared" si="272"/>
        <v>15600</v>
      </c>
      <c r="BP92" s="415">
        <f t="shared" si="272"/>
        <v>15600</v>
      </c>
      <c r="BQ92" s="415">
        <f t="shared" si="272"/>
        <v>15600</v>
      </c>
      <c r="BR92" s="415">
        <f t="shared" si="272"/>
        <v>15600</v>
      </c>
      <c r="BS92" s="416">
        <f t="shared" si="263"/>
        <v>187200</v>
      </c>
      <c r="BT92" s="415">
        <f t="shared" si="277"/>
        <v>16224</v>
      </c>
      <c r="BU92" s="415">
        <f t="shared" si="273"/>
        <v>16224</v>
      </c>
      <c r="BV92" s="415">
        <f t="shared" si="273"/>
        <v>16224</v>
      </c>
      <c r="BW92" s="415">
        <f t="shared" si="273"/>
        <v>16224</v>
      </c>
      <c r="BX92" s="415">
        <f t="shared" si="273"/>
        <v>16224</v>
      </c>
      <c r="BY92" s="415">
        <f t="shared" si="273"/>
        <v>16224</v>
      </c>
      <c r="BZ92" s="415">
        <f t="shared" si="273"/>
        <v>16224</v>
      </c>
      <c r="CA92" s="415">
        <f t="shared" si="273"/>
        <v>16224</v>
      </c>
      <c r="CB92" s="415">
        <f t="shared" si="273"/>
        <v>16224</v>
      </c>
      <c r="CC92" s="415">
        <f t="shared" si="273"/>
        <v>16224</v>
      </c>
      <c r="CD92" s="415">
        <f t="shared" si="273"/>
        <v>16224</v>
      </c>
      <c r="CE92" s="415">
        <f t="shared" si="273"/>
        <v>16224</v>
      </c>
      <c r="CF92" s="416">
        <f t="shared" si="266"/>
        <v>194688</v>
      </c>
    </row>
    <row r="93" spans="1:84">
      <c r="A93" s="399"/>
      <c r="B93" s="426" t="s">
        <v>137</v>
      </c>
      <c r="C93" s="420" t="s">
        <v>648</v>
      </c>
      <c r="D93" s="423">
        <v>120000</v>
      </c>
      <c r="E93" s="427"/>
      <c r="F93" s="414" t="s">
        <v>319</v>
      </c>
      <c r="G93" s="415">
        <f t="shared" si="267"/>
        <v>0</v>
      </c>
      <c r="H93" s="415">
        <f t="shared" si="268"/>
        <v>0</v>
      </c>
      <c r="I93" s="415">
        <f t="shared" si="268"/>
        <v>0</v>
      </c>
      <c r="J93" s="415">
        <f t="shared" si="268"/>
        <v>0</v>
      </c>
      <c r="K93" s="415">
        <f t="shared" si="268"/>
        <v>0</v>
      </c>
      <c r="L93" s="415">
        <f t="shared" si="268"/>
        <v>0</v>
      </c>
      <c r="M93" s="415">
        <f t="shared" si="268"/>
        <v>0</v>
      </c>
      <c r="N93" s="415">
        <f t="shared" si="268"/>
        <v>0</v>
      </c>
      <c r="O93" s="415">
        <f t="shared" si="268"/>
        <v>0</v>
      </c>
      <c r="P93" s="415">
        <f t="shared" si="268"/>
        <v>0</v>
      </c>
      <c r="Q93" s="415">
        <f t="shared" si="268"/>
        <v>0</v>
      </c>
      <c r="R93" s="415">
        <f t="shared" si="268"/>
        <v>0</v>
      </c>
      <c r="S93" s="416">
        <f t="shared" si="251"/>
        <v>0</v>
      </c>
      <c r="T93" s="415">
        <f t="shared" si="252"/>
        <v>0</v>
      </c>
      <c r="U93" s="415">
        <f t="shared" si="269"/>
        <v>0</v>
      </c>
      <c r="V93" s="415">
        <f t="shared" si="269"/>
        <v>0</v>
      </c>
      <c r="W93" s="415">
        <f t="shared" si="269"/>
        <v>0</v>
      </c>
      <c r="X93" s="415">
        <f t="shared" si="269"/>
        <v>0</v>
      </c>
      <c r="Y93" s="415">
        <f t="shared" si="269"/>
        <v>0</v>
      </c>
      <c r="Z93" s="415">
        <f t="shared" si="269"/>
        <v>0</v>
      </c>
      <c r="AA93" s="415">
        <f t="shared" si="269"/>
        <v>0</v>
      </c>
      <c r="AB93" s="415">
        <f t="shared" si="269"/>
        <v>0</v>
      </c>
      <c r="AC93" s="415">
        <f t="shared" si="269"/>
        <v>0</v>
      </c>
      <c r="AD93" s="415">
        <f t="shared" si="269"/>
        <v>0</v>
      </c>
      <c r="AE93" s="415">
        <f t="shared" si="269"/>
        <v>0</v>
      </c>
      <c r="AF93" s="416">
        <f t="shared" si="254"/>
        <v>0</v>
      </c>
      <c r="AG93" s="415">
        <f t="shared" si="274"/>
        <v>0</v>
      </c>
      <c r="AH93" s="415">
        <f t="shared" si="270"/>
        <v>0</v>
      </c>
      <c r="AI93" s="415">
        <f t="shared" si="270"/>
        <v>0</v>
      </c>
      <c r="AJ93" s="415">
        <f t="shared" si="270"/>
        <v>0</v>
      </c>
      <c r="AK93" s="415">
        <f t="shared" si="270"/>
        <v>0</v>
      </c>
      <c r="AL93" s="415">
        <f t="shared" si="270"/>
        <v>0</v>
      </c>
      <c r="AM93" s="415">
        <f t="shared" si="270"/>
        <v>0</v>
      </c>
      <c r="AN93" s="415">
        <f t="shared" si="270"/>
        <v>0</v>
      </c>
      <c r="AO93" s="415">
        <f t="shared" si="270"/>
        <v>0</v>
      </c>
      <c r="AP93" s="415">
        <f t="shared" si="270"/>
        <v>0</v>
      </c>
      <c r="AQ93" s="415">
        <f t="shared" si="270"/>
        <v>0</v>
      </c>
      <c r="AR93" s="415">
        <f t="shared" si="270"/>
        <v>0</v>
      </c>
      <c r="AS93" s="416">
        <f t="shared" si="257"/>
        <v>0</v>
      </c>
      <c r="AT93" s="415">
        <f t="shared" si="275"/>
        <v>10000</v>
      </c>
      <c r="AU93" s="415">
        <f t="shared" si="271"/>
        <v>10000</v>
      </c>
      <c r="AV93" s="415">
        <f t="shared" si="271"/>
        <v>10000</v>
      </c>
      <c r="AW93" s="415">
        <f t="shared" si="271"/>
        <v>10000</v>
      </c>
      <c r="AX93" s="415">
        <f t="shared" si="271"/>
        <v>10000</v>
      </c>
      <c r="AY93" s="415">
        <f t="shared" si="271"/>
        <v>10000</v>
      </c>
      <c r="AZ93" s="415">
        <f t="shared" si="271"/>
        <v>10000</v>
      </c>
      <c r="BA93" s="415">
        <f t="shared" si="271"/>
        <v>10000</v>
      </c>
      <c r="BB93" s="415">
        <f t="shared" si="271"/>
        <v>10000</v>
      </c>
      <c r="BC93" s="415">
        <f t="shared" si="271"/>
        <v>10000</v>
      </c>
      <c r="BD93" s="415">
        <f t="shared" si="271"/>
        <v>10000</v>
      </c>
      <c r="BE93" s="415">
        <f t="shared" si="271"/>
        <v>10000</v>
      </c>
      <c r="BF93" s="416">
        <f t="shared" si="260"/>
        <v>120000</v>
      </c>
      <c r="BG93" s="415">
        <f t="shared" si="276"/>
        <v>10400</v>
      </c>
      <c r="BH93" s="415">
        <f t="shared" si="272"/>
        <v>10400</v>
      </c>
      <c r="BI93" s="415">
        <f t="shared" si="272"/>
        <v>10400</v>
      </c>
      <c r="BJ93" s="415">
        <f t="shared" si="272"/>
        <v>10400</v>
      </c>
      <c r="BK93" s="415">
        <f t="shared" si="272"/>
        <v>10400</v>
      </c>
      <c r="BL93" s="415">
        <f t="shared" si="272"/>
        <v>10400</v>
      </c>
      <c r="BM93" s="415">
        <f t="shared" si="272"/>
        <v>10400</v>
      </c>
      <c r="BN93" s="415">
        <f t="shared" si="272"/>
        <v>10400</v>
      </c>
      <c r="BO93" s="415">
        <f t="shared" si="272"/>
        <v>10400</v>
      </c>
      <c r="BP93" s="415">
        <f t="shared" si="272"/>
        <v>10400</v>
      </c>
      <c r="BQ93" s="415">
        <f t="shared" si="272"/>
        <v>10400</v>
      </c>
      <c r="BR93" s="415">
        <f t="shared" si="272"/>
        <v>10400</v>
      </c>
      <c r="BS93" s="416">
        <f t="shared" si="263"/>
        <v>124800</v>
      </c>
      <c r="BT93" s="415">
        <f t="shared" si="277"/>
        <v>10816</v>
      </c>
      <c r="BU93" s="415">
        <f t="shared" si="273"/>
        <v>10816</v>
      </c>
      <c r="BV93" s="415">
        <f t="shared" si="273"/>
        <v>10816</v>
      </c>
      <c r="BW93" s="415">
        <f t="shared" si="273"/>
        <v>10816</v>
      </c>
      <c r="BX93" s="415">
        <f t="shared" si="273"/>
        <v>10816</v>
      </c>
      <c r="BY93" s="415">
        <f t="shared" si="273"/>
        <v>10816</v>
      </c>
      <c r="BZ93" s="415">
        <f t="shared" si="273"/>
        <v>10816</v>
      </c>
      <c r="CA93" s="415">
        <f t="shared" si="273"/>
        <v>10816</v>
      </c>
      <c r="CB93" s="415">
        <f t="shared" si="273"/>
        <v>10816</v>
      </c>
      <c r="CC93" s="415">
        <f t="shared" si="273"/>
        <v>10816</v>
      </c>
      <c r="CD93" s="415">
        <f t="shared" si="273"/>
        <v>10816</v>
      </c>
      <c r="CE93" s="415">
        <f t="shared" si="273"/>
        <v>10816</v>
      </c>
      <c r="CF93" s="416">
        <f t="shared" si="266"/>
        <v>129792</v>
      </c>
    </row>
    <row r="94" spans="1:84">
      <c r="A94" s="399"/>
      <c r="B94" s="426" t="s">
        <v>627</v>
      </c>
      <c r="C94" s="420" t="s">
        <v>649</v>
      </c>
      <c r="D94" s="423">
        <v>65000</v>
      </c>
      <c r="E94" s="427"/>
      <c r="F94" s="414" t="s">
        <v>313</v>
      </c>
      <c r="G94" s="415">
        <f t="shared" si="267"/>
        <v>0</v>
      </c>
      <c r="H94" s="415">
        <f t="shared" si="268"/>
        <v>0</v>
      </c>
      <c r="I94" s="415">
        <f t="shared" si="268"/>
        <v>0</v>
      </c>
      <c r="J94" s="415">
        <f t="shared" si="268"/>
        <v>0</v>
      </c>
      <c r="K94" s="415">
        <f t="shared" si="268"/>
        <v>0</v>
      </c>
      <c r="L94" s="415">
        <f t="shared" si="268"/>
        <v>0</v>
      </c>
      <c r="M94" s="415">
        <f t="shared" si="268"/>
        <v>0</v>
      </c>
      <c r="N94" s="415">
        <f t="shared" si="268"/>
        <v>0</v>
      </c>
      <c r="O94" s="415">
        <f t="shared" si="268"/>
        <v>0</v>
      </c>
      <c r="P94" s="415">
        <f t="shared" si="268"/>
        <v>0</v>
      </c>
      <c r="Q94" s="415">
        <f t="shared" si="268"/>
        <v>0</v>
      </c>
      <c r="R94" s="415">
        <f t="shared" si="268"/>
        <v>0</v>
      </c>
      <c r="S94" s="416">
        <f t="shared" si="251"/>
        <v>0</v>
      </c>
      <c r="T94" s="415">
        <f t="shared" si="252"/>
        <v>0</v>
      </c>
      <c r="U94" s="415">
        <f t="shared" si="269"/>
        <v>0</v>
      </c>
      <c r="V94" s="415">
        <f t="shared" si="269"/>
        <v>0</v>
      </c>
      <c r="W94" s="415">
        <f t="shared" si="269"/>
        <v>0</v>
      </c>
      <c r="X94" s="415">
        <f t="shared" si="269"/>
        <v>0</v>
      </c>
      <c r="Y94" s="415">
        <f t="shared" si="269"/>
        <v>0</v>
      </c>
      <c r="Z94" s="415">
        <f t="shared" si="269"/>
        <v>0</v>
      </c>
      <c r="AA94" s="415">
        <f t="shared" si="269"/>
        <v>0</v>
      </c>
      <c r="AB94" s="415">
        <f t="shared" si="269"/>
        <v>0</v>
      </c>
      <c r="AC94" s="415">
        <f t="shared" si="269"/>
        <v>0</v>
      </c>
      <c r="AD94" s="415">
        <f t="shared" si="269"/>
        <v>0</v>
      </c>
      <c r="AE94" s="415">
        <f t="shared" si="269"/>
        <v>0</v>
      </c>
      <c r="AF94" s="416">
        <f t="shared" si="254"/>
        <v>0</v>
      </c>
      <c r="AG94" s="415">
        <f t="shared" si="274"/>
        <v>0</v>
      </c>
      <c r="AH94" s="415">
        <f t="shared" si="270"/>
        <v>0</v>
      </c>
      <c r="AI94" s="415">
        <f t="shared" si="270"/>
        <v>0</v>
      </c>
      <c r="AJ94" s="415">
        <f t="shared" si="270"/>
        <v>0</v>
      </c>
      <c r="AK94" s="415">
        <f t="shared" si="270"/>
        <v>0</v>
      </c>
      <c r="AL94" s="415">
        <f t="shared" si="270"/>
        <v>0</v>
      </c>
      <c r="AM94" s="415">
        <f t="shared" si="270"/>
        <v>5416.666666666667</v>
      </c>
      <c r="AN94" s="415">
        <f t="shared" si="270"/>
        <v>5416.666666666667</v>
      </c>
      <c r="AO94" s="415">
        <f t="shared" si="270"/>
        <v>5416.666666666667</v>
      </c>
      <c r="AP94" s="415">
        <f t="shared" si="270"/>
        <v>5416.666666666667</v>
      </c>
      <c r="AQ94" s="415">
        <f t="shared" si="270"/>
        <v>5416.666666666667</v>
      </c>
      <c r="AR94" s="415">
        <f t="shared" si="270"/>
        <v>5416.666666666667</v>
      </c>
      <c r="AS94" s="416">
        <f t="shared" si="257"/>
        <v>32500.000000000004</v>
      </c>
      <c r="AT94" s="415">
        <f t="shared" si="275"/>
        <v>5633.3333333333339</v>
      </c>
      <c r="AU94" s="415">
        <f t="shared" si="271"/>
        <v>5633.3333333333339</v>
      </c>
      <c r="AV94" s="415">
        <f t="shared" si="271"/>
        <v>5633.3333333333339</v>
      </c>
      <c r="AW94" s="415">
        <f t="shared" si="271"/>
        <v>5633.3333333333339</v>
      </c>
      <c r="AX94" s="415">
        <f t="shared" si="271"/>
        <v>5633.3333333333339</v>
      </c>
      <c r="AY94" s="415">
        <f t="shared" si="271"/>
        <v>5633.3333333333339</v>
      </c>
      <c r="AZ94" s="415">
        <f t="shared" si="271"/>
        <v>5633.3333333333339</v>
      </c>
      <c r="BA94" s="415">
        <f t="shared" si="271"/>
        <v>5633.3333333333339</v>
      </c>
      <c r="BB94" s="415">
        <f t="shared" si="271"/>
        <v>5633.3333333333339</v>
      </c>
      <c r="BC94" s="415">
        <f t="shared" si="271"/>
        <v>5633.3333333333339</v>
      </c>
      <c r="BD94" s="415">
        <f t="shared" si="271"/>
        <v>5633.3333333333339</v>
      </c>
      <c r="BE94" s="415">
        <f t="shared" si="271"/>
        <v>5633.3333333333339</v>
      </c>
      <c r="BF94" s="416">
        <f t="shared" si="260"/>
        <v>67600.000000000015</v>
      </c>
      <c r="BG94" s="415">
        <f t="shared" si="276"/>
        <v>5858.6666666666679</v>
      </c>
      <c r="BH94" s="415">
        <f t="shared" si="272"/>
        <v>5858.6666666666679</v>
      </c>
      <c r="BI94" s="415">
        <f t="shared" si="272"/>
        <v>5858.6666666666679</v>
      </c>
      <c r="BJ94" s="415">
        <f t="shared" si="272"/>
        <v>5858.6666666666679</v>
      </c>
      <c r="BK94" s="415">
        <f t="shared" si="272"/>
        <v>5858.6666666666679</v>
      </c>
      <c r="BL94" s="415">
        <f t="shared" si="272"/>
        <v>5858.6666666666679</v>
      </c>
      <c r="BM94" s="415">
        <f t="shared" si="272"/>
        <v>5858.6666666666679</v>
      </c>
      <c r="BN94" s="415">
        <f t="shared" si="272"/>
        <v>5858.6666666666679</v>
      </c>
      <c r="BO94" s="415">
        <f t="shared" si="272"/>
        <v>5858.6666666666679</v>
      </c>
      <c r="BP94" s="415">
        <f t="shared" si="272"/>
        <v>5858.6666666666679</v>
      </c>
      <c r="BQ94" s="415">
        <f t="shared" si="272"/>
        <v>5858.6666666666679</v>
      </c>
      <c r="BR94" s="415">
        <f t="shared" si="272"/>
        <v>5858.6666666666679</v>
      </c>
      <c r="BS94" s="416">
        <f t="shared" si="263"/>
        <v>70304.000000000029</v>
      </c>
      <c r="BT94" s="415">
        <f t="shared" si="277"/>
        <v>6093.0133333333351</v>
      </c>
      <c r="BU94" s="415">
        <f t="shared" si="273"/>
        <v>6093.0133333333351</v>
      </c>
      <c r="BV94" s="415">
        <f t="shared" si="273"/>
        <v>6093.0133333333351</v>
      </c>
      <c r="BW94" s="415">
        <f t="shared" si="273"/>
        <v>6093.0133333333351</v>
      </c>
      <c r="BX94" s="415">
        <f t="shared" si="273"/>
        <v>6093.0133333333351</v>
      </c>
      <c r="BY94" s="415">
        <f t="shared" si="273"/>
        <v>6093.0133333333351</v>
      </c>
      <c r="BZ94" s="415">
        <f t="shared" si="273"/>
        <v>6093.0133333333351</v>
      </c>
      <c r="CA94" s="415">
        <f t="shared" si="273"/>
        <v>6093.0133333333351</v>
      </c>
      <c r="CB94" s="415">
        <f t="shared" si="273"/>
        <v>6093.0133333333351</v>
      </c>
      <c r="CC94" s="415">
        <f t="shared" si="273"/>
        <v>6093.0133333333351</v>
      </c>
      <c r="CD94" s="415">
        <f t="shared" si="273"/>
        <v>6093.0133333333351</v>
      </c>
      <c r="CE94" s="415">
        <f t="shared" si="273"/>
        <v>6093.0133333333351</v>
      </c>
      <c r="CF94" s="416">
        <f t="shared" si="266"/>
        <v>73116.160000000018</v>
      </c>
    </row>
    <row r="95" spans="1:84">
      <c r="A95" s="399"/>
      <c r="B95" s="426" t="s">
        <v>627</v>
      </c>
      <c r="C95" s="420" t="s">
        <v>649</v>
      </c>
      <c r="D95" s="423">
        <v>65000</v>
      </c>
      <c r="E95" s="427"/>
      <c r="F95" s="414" t="s">
        <v>319</v>
      </c>
      <c r="G95" s="415">
        <f t="shared" si="267"/>
        <v>0</v>
      </c>
      <c r="H95" s="415">
        <f t="shared" si="268"/>
        <v>0</v>
      </c>
      <c r="I95" s="415">
        <f t="shared" si="268"/>
        <v>0</v>
      </c>
      <c r="J95" s="415">
        <f t="shared" si="268"/>
        <v>0</v>
      </c>
      <c r="K95" s="415">
        <f t="shared" si="268"/>
        <v>0</v>
      </c>
      <c r="L95" s="415">
        <f t="shared" si="268"/>
        <v>0</v>
      </c>
      <c r="M95" s="415">
        <f t="shared" si="268"/>
        <v>0</v>
      </c>
      <c r="N95" s="415">
        <f t="shared" si="268"/>
        <v>0</v>
      </c>
      <c r="O95" s="415">
        <f t="shared" si="268"/>
        <v>0</v>
      </c>
      <c r="P95" s="415">
        <f t="shared" si="268"/>
        <v>0</v>
      </c>
      <c r="Q95" s="415">
        <f t="shared" si="268"/>
        <v>0</v>
      </c>
      <c r="R95" s="415">
        <f t="shared" si="268"/>
        <v>0</v>
      </c>
      <c r="S95" s="416">
        <f t="shared" si="251"/>
        <v>0</v>
      </c>
      <c r="T95" s="415">
        <f t="shared" si="252"/>
        <v>0</v>
      </c>
      <c r="U95" s="415">
        <f t="shared" si="269"/>
        <v>0</v>
      </c>
      <c r="V95" s="415">
        <f t="shared" si="269"/>
        <v>0</v>
      </c>
      <c r="W95" s="415">
        <f t="shared" si="269"/>
        <v>0</v>
      </c>
      <c r="X95" s="415">
        <f t="shared" si="269"/>
        <v>0</v>
      </c>
      <c r="Y95" s="415">
        <f t="shared" si="269"/>
        <v>0</v>
      </c>
      <c r="Z95" s="415">
        <f t="shared" si="269"/>
        <v>0</v>
      </c>
      <c r="AA95" s="415">
        <f t="shared" si="269"/>
        <v>0</v>
      </c>
      <c r="AB95" s="415">
        <f t="shared" si="269"/>
        <v>0</v>
      </c>
      <c r="AC95" s="415">
        <f t="shared" si="269"/>
        <v>0</v>
      </c>
      <c r="AD95" s="415">
        <f t="shared" si="269"/>
        <v>0</v>
      </c>
      <c r="AE95" s="415">
        <f t="shared" si="269"/>
        <v>0</v>
      </c>
      <c r="AF95" s="416">
        <f t="shared" si="254"/>
        <v>0</v>
      </c>
      <c r="AG95" s="415">
        <f t="shared" si="274"/>
        <v>0</v>
      </c>
      <c r="AH95" s="415">
        <f t="shared" si="270"/>
        <v>0</v>
      </c>
      <c r="AI95" s="415">
        <f t="shared" si="270"/>
        <v>0</v>
      </c>
      <c r="AJ95" s="415">
        <f t="shared" si="270"/>
        <v>0</v>
      </c>
      <c r="AK95" s="415">
        <f t="shared" si="270"/>
        <v>0</v>
      </c>
      <c r="AL95" s="415">
        <f t="shared" si="270"/>
        <v>0</v>
      </c>
      <c r="AM95" s="415">
        <f t="shared" si="270"/>
        <v>0</v>
      </c>
      <c r="AN95" s="415">
        <f t="shared" si="270"/>
        <v>0</v>
      </c>
      <c r="AO95" s="415">
        <f t="shared" si="270"/>
        <v>0</v>
      </c>
      <c r="AP95" s="415">
        <f t="shared" si="270"/>
        <v>0</v>
      </c>
      <c r="AQ95" s="415">
        <f t="shared" si="270"/>
        <v>0</v>
      </c>
      <c r="AR95" s="415">
        <f t="shared" si="270"/>
        <v>0</v>
      </c>
      <c r="AS95" s="416">
        <f t="shared" si="257"/>
        <v>0</v>
      </c>
      <c r="AT95" s="415">
        <f t="shared" si="275"/>
        <v>5416.666666666667</v>
      </c>
      <c r="AU95" s="415">
        <f t="shared" si="271"/>
        <v>5416.666666666667</v>
      </c>
      <c r="AV95" s="415">
        <f t="shared" si="271"/>
        <v>5416.666666666667</v>
      </c>
      <c r="AW95" s="415">
        <f t="shared" si="271"/>
        <v>5416.666666666667</v>
      </c>
      <c r="AX95" s="415">
        <f t="shared" si="271"/>
        <v>5416.666666666667</v>
      </c>
      <c r="AY95" s="415">
        <f t="shared" si="271"/>
        <v>5416.666666666667</v>
      </c>
      <c r="AZ95" s="415">
        <f t="shared" si="271"/>
        <v>5416.666666666667</v>
      </c>
      <c r="BA95" s="415">
        <f t="shared" si="271"/>
        <v>5416.666666666667</v>
      </c>
      <c r="BB95" s="415">
        <f t="shared" si="271"/>
        <v>5416.666666666667</v>
      </c>
      <c r="BC95" s="415">
        <f t="shared" si="271"/>
        <v>5416.666666666667</v>
      </c>
      <c r="BD95" s="415">
        <f t="shared" si="271"/>
        <v>5416.666666666667</v>
      </c>
      <c r="BE95" s="415">
        <f t="shared" si="271"/>
        <v>5416.666666666667</v>
      </c>
      <c r="BF95" s="416">
        <f t="shared" si="260"/>
        <v>64999.999999999993</v>
      </c>
      <c r="BG95" s="415">
        <f t="shared" si="276"/>
        <v>5633.3333333333339</v>
      </c>
      <c r="BH95" s="415">
        <f t="shared" si="272"/>
        <v>5633.3333333333339</v>
      </c>
      <c r="BI95" s="415">
        <f t="shared" si="272"/>
        <v>5633.3333333333339</v>
      </c>
      <c r="BJ95" s="415">
        <f t="shared" si="272"/>
        <v>5633.3333333333339</v>
      </c>
      <c r="BK95" s="415">
        <f t="shared" si="272"/>
        <v>5633.3333333333339</v>
      </c>
      <c r="BL95" s="415">
        <f t="shared" si="272"/>
        <v>5633.3333333333339</v>
      </c>
      <c r="BM95" s="415">
        <f t="shared" si="272"/>
        <v>5633.3333333333339</v>
      </c>
      <c r="BN95" s="415">
        <f t="shared" si="272"/>
        <v>5633.3333333333339</v>
      </c>
      <c r="BO95" s="415">
        <f t="shared" si="272"/>
        <v>5633.3333333333339</v>
      </c>
      <c r="BP95" s="415">
        <f t="shared" si="272"/>
        <v>5633.3333333333339</v>
      </c>
      <c r="BQ95" s="415">
        <f t="shared" si="272"/>
        <v>5633.3333333333339</v>
      </c>
      <c r="BR95" s="415">
        <f t="shared" si="272"/>
        <v>5633.3333333333339</v>
      </c>
      <c r="BS95" s="416">
        <f t="shared" si="263"/>
        <v>67600.000000000015</v>
      </c>
      <c r="BT95" s="415">
        <f t="shared" si="277"/>
        <v>5858.6666666666679</v>
      </c>
      <c r="BU95" s="415">
        <f t="shared" si="273"/>
        <v>5858.6666666666679</v>
      </c>
      <c r="BV95" s="415">
        <f t="shared" si="273"/>
        <v>5858.6666666666679</v>
      </c>
      <c r="BW95" s="415">
        <f t="shared" si="273"/>
        <v>5858.6666666666679</v>
      </c>
      <c r="BX95" s="415">
        <f t="shared" si="273"/>
        <v>5858.6666666666679</v>
      </c>
      <c r="BY95" s="415">
        <f t="shared" si="273"/>
        <v>5858.6666666666679</v>
      </c>
      <c r="BZ95" s="415">
        <f t="shared" si="273"/>
        <v>5858.6666666666679</v>
      </c>
      <c r="CA95" s="415">
        <f t="shared" si="273"/>
        <v>5858.6666666666679</v>
      </c>
      <c r="CB95" s="415">
        <f t="shared" si="273"/>
        <v>5858.6666666666679</v>
      </c>
      <c r="CC95" s="415">
        <f t="shared" si="273"/>
        <v>5858.6666666666679</v>
      </c>
      <c r="CD95" s="415">
        <f t="shared" si="273"/>
        <v>5858.6666666666679</v>
      </c>
      <c r="CE95" s="415">
        <f t="shared" si="273"/>
        <v>5858.6666666666679</v>
      </c>
      <c r="CF95" s="416">
        <f t="shared" si="266"/>
        <v>70304.000000000029</v>
      </c>
    </row>
    <row r="96" spans="1:84">
      <c r="A96" s="399"/>
      <c r="B96" s="426" t="s">
        <v>627</v>
      </c>
      <c r="C96" s="420" t="s">
        <v>649</v>
      </c>
      <c r="D96" s="423">
        <v>65000</v>
      </c>
      <c r="E96" s="427"/>
      <c r="F96" s="414" t="s">
        <v>319</v>
      </c>
      <c r="G96" s="415">
        <f t="shared" si="267"/>
        <v>0</v>
      </c>
      <c r="H96" s="415">
        <f t="shared" si="268"/>
        <v>0</v>
      </c>
      <c r="I96" s="415">
        <f t="shared" si="268"/>
        <v>0</v>
      </c>
      <c r="J96" s="415">
        <f t="shared" si="268"/>
        <v>0</v>
      </c>
      <c r="K96" s="415">
        <f t="shared" si="268"/>
        <v>0</v>
      </c>
      <c r="L96" s="415">
        <f t="shared" si="268"/>
        <v>0</v>
      </c>
      <c r="M96" s="415">
        <f t="shared" si="268"/>
        <v>0</v>
      </c>
      <c r="N96" s="415">
        <f t="shared" si="268"/>
        <v>0</v>
      </c>
      <c r="O96" s="415">
        <f t="shared" si="268"/>
        <v>0</v>
      </c>
      <c r="P96" s="415">
        <f t="shared" si="268"/>
        <v>0</v>
      </c>
      <c r="Q96" s="415">
        <f t="shared" si="268"/>
        <v>0</v>
      </c>
      <c r="R96" s="415">
        <f t="shared" si="268"/>
        <v>0</v>
      </c>
      <c r="S96" s="416">
        <f t="shared" si="251"/>
        <v>0</v>
      </c>
      <c r="T96" s="415">
        <f t="shared" si="252"/>
        <v>0</v>
      </c>
      <c r="U96" s="415">
        <f t="shared" si="269"/>
        <v>0</v>
      </c>
      <c r="V96" s="415">
        <f t="shared" si="269"/>
        <v>0</v>
      </c>
      <c r="W96" s="415">
        <f t="shared" si="269"/>
        <v>0</v>
      </c>
      <c r="X96" s="415">
        <f t="shared" si="269"/>
        <v>0</v>
      </c>
      <c r="Y96" s="415">
        <f t="shared" si="269"/>
        <v>0</v>
      </c>
      <c r="Z96" s="415">
        <f t="shared" si="269"/>
        <v>0</v>
      </c>
      <c r="AA96" s="415">
        <f t="shared" si="269"/>
        <v>0</v>
      </c>
      <c r="AB96" s="415">
        <f t="shared" si="269"/>
        <v>0</v>
      </c>
      <c r="AC96" s="415">
        <f t="shared" si="269"/>
        <v>0</v>
      </c>
      <c r="AD96" s="415">
        <f t="shared" si="269"/>
        <v>0</v>
      </c>
      <c r="AE96" s="415">
        <f t="shared" si="269"/>
        <v>0</v>
      </c>
      <c r="AF96" s="416">
        <f t="shared" si="254"/>
        <v>0</v>
      </c>
      <c r="AG96" s="415">
        <f t="shared" si="274"/>
        <v>0</v>
      </c>
      <c r="AH96" s="415">
        <f t="shared" si="270"/>
        <v>0</v>
      </c>
      <c r="AI96" s="415">
        <f t="shared" si="270"/>
        <v>0</v>
      </c>
      <c r="AJ96" s="415">
        <f t="shared" si="270"/>
        <v>0</v>
      </c>
      <c r="AK96" s="415">
        <f t="shared" si="270"/>
        <v>0</v>
      </c>
      <c r="AL96" s="415">
        <f t="shared" si="270"/>
        <v>0</v>
      </c>
      <c r="AM96" s="415">
        <f t="shared" si="270"/>
        <v>0</v>
      </c>
      <c r="AN96" s="415">
        <f t="shared" si="270"/>
        <v>0</v>
      </c>
      <c r="AO96" s="415">
        <f t="shared" si="270"/>
        <v>0</v>
      </c>
      <c r="AP96" s="415">
        <f t="shared" si="270"/>
        <v>0</v>
      </c>
      <c r="AQ96" s="415">
        <f t="shared" si="270"/>
        <v>0</v>
      </c>
      <c r="AR96" s="415">
        <f t="shared" si="270"/>
        <v>0</v>
      </c>
      <c r="AS96" s="416">
        <f t="shared" si="257"/>
        <v>0</v>
      </c>
      <c r="AT96" s="415">
        <f t="shared" si="275"/>
        <v>5416.666666666667</v>
      </c>
      <c r="AU96" s="415">
        <f t="shared" si="271"/>
        <v>5416.666666666667</v>
      </c>
      <c r="AV96" s="415">
        <f t="shared" si="271"/>
        <v>5416.666666666667</v>
      </c>
      <c r="AW96" s="415">
        <f t="shared" si="271"/>
        <v>5416.666666666667</v>
      </c>
      <c r="AX96" s="415">
        <f t="shared" si="271"/>
        <v>5416.666666666667</v>
      </c>
      <c r="AY96" s="415">
        <f t="shared" si="271"/>
        <v>5416.666666666667</v>
      </c>
      <c r="AZ96" s="415">
        <f t="shared" si="271"/>
        <v>5416.666666666667</v>
      </c>
      <c r="BA96" s="415">
        <f t="shared" si="271"/>
        <v>5416.666666666667</v>
      </c>
      <c r="BB96" s="415">
        <f t="shared" si="271"/>
        <v>5416.666666666667</v>
      </c>
      <c r="BC96" s="415">
        <f t="shared" si="271"/>
        <v>5416.666666666667</v>
      </c>
      <c r="BD96" s="415">
        <f t="shared" si="271"/>
        <v>5416.666666666667</v>
      </c>
      <c r="BE96" s="415">
        <f t="shared" si="271"/>
        <v>5416.666666666667</v>
      </c>
      <c r="BF96" s="416">
        <f t="shared" si="260"/>
        <v>64999.999999999993</v>
      </c>
      <c r="BG96" s="415">
        <f t="shared" si="276"/>
        <v>5633.3333333333339</v>
      </c>
      <c r="BH96" s="415">
        <f t="shared" si="272"/>
        <v>5633.3333333333339</v>
      </c>
      <c r="BI96" s="415">
        <f t="shared" si="272"/>
        <v>5633.3333333333339</v>
      </c>
      <c r="BJ96" s="415">
        <f t="shared" si="272"/>
        <v>5633.3333333333339</v>
      </c>
      <c r="BK96" s="415">
        <f t="shared" si="272"/>
        <v>5633.3333333333339</v>
      </c>
      <c r="BL96" s="415">
        <f t="shared" si="272"/>
        <v>5633.3333333333339</v>
      </c>
      <c r="BM96" s="415">
        <f t="shared" si="272"/>
        <v>5633.3333333333339</v>
      </c>
      <c r="BN96" s="415">
        <f t="shared" si="272"/>
        <v>5633.3333333333339</v>
      </c>
      <c r="BO96" s="415">
        <f t="shared" si="272"/>
        <v>5633.3333333333339</v>
      </c>
      <c r="BP96" s="415">
        <f t="shared" si="272"/>
        <v>5633.3333333333339</v>
      </c>
      <c r="BQ96" s="415">
        <f t="shared" si="272"/>
        <v>5633.3333333333339</v>
      </c>
      <c r="BR96" s="415">
        <f t="shared" si="272"/>
        <v>5633.3333333333339</v>
      </c>
      <c r="BS96" s="416">
        <f t="shared" si="263"/>
        <v>67600.000000000015</v>
      </c>
      <c r="BT96" s="415">
        <f t="shared" si="277"/>
        <v>5858.6666666666679</v>
      </c>
      <c r="BU96" s="415">
        <f t="shared" si="273"/>
        <v>5858.6666666666679</v>
      </c>
      <c r="BV96" s="415">
        <f t="shared" si="273"/>
        <v>5858.6666666666679</v>
      </c>
      <c r="BW96" s="415">
        <f t="shared" si="273"/>
        <v>5858.6666666666679</v>
      </c>
      <c r="BX96" s="415">
        <f t="shared" si="273"/>
        <v>5858.6666666666679</v>
      </c>
      <c r="BY96" s="415">
        <f t="shared" si="273"/>
        <v>5858.6666666666679</v>
      </c>
      <c r="BZ96" s="415">
        <f t="shared" si="273"/>
        <v>5858.6666666666679</v>
      </c>
      <c r="CA96" s="415">
        <f t="shared" si="273"/>
        <v>5858.6666666666679</v>
      </c>
      <c r="CB96" s="415">
        <f t="shared" si="273"/>
        <v>5858.6666666666679</v>
      </c>
      <c r="CC96" s="415">
        <f t="shared" si="273"/>
        <v>5858.6666666666679</v>
      </c>
      <c r="CD96" s="415">
        <f t="shared" si="273"/>
        <v>5858.6666666666679</v>
      </c>
      <c r="CE96" s="415">
        <f t="shared" si="273"/>
        <v>5858.6666666666679</v>
      </c>
      <c r="CF96" s="416">
        <f t="shared" si="266"/>
        <v>70304.000000000029</v>
      </c>
    </row>
    <row r="97" spans="1:84">
      <c r="A97" s="408" t="s">
        <v>650</v>
      </c>
      <c r="B97" s="399"/>
      <c r="C97" s="424"/>
      <c r="D97" s="413"/>
      <c r="E97" s="413"/>
      <c r="F97" s="425"/>
      <c r="G97" s="415"/>
      <c r="H97" s="415"/>
      <c r="I97" s="415"/>
      <c r="J97" s="415"/>
      <c r="K97" s="415"/>
      <c r="L97" s="415"/>
      <c r="M97" s="415"/>
      <c r="N97" s="415"/>
      <c r="O97" s="415"/>
      <c r="P97" s="415"/>
      <c r="Q97" s="415"/>
      <c r="R97" s="415"/>
      <c r="S97" s="416"/>
      <c r="T97" s="415"/>
      <c r="U97" s="415"/>
      <c r="V97" s="415"/>
      <c r="W97" s="415"/>
      <c r="X97" s="415"/>
      <c r="Y97" s="415"/>
      <c r="Z97" s="415"/>
      <c r="AA97" s="415"/>
      <c r="AB97" s="415"/>
      <c r="AC97" s="415"/>
      <c r="AD97" s="415"/>
      <c r="AE97" s="415"/>
      <c r="AF97" s="416"/>
      <c r="AG97" s="415"/>
      <c r="AH97" s="415"/>
      <c r="AI97" s="415"/>
      <c r="AJ97" s="415"/>
      <c r="AK97" s="415"/>
      <c r="AL97" s="415"/>
      <c r="AM97" s="415"/>
      <c r="AN97" s="415"/>
      <c r="AO97" s="415"/>
      <c r="AP97" s="415"/>
      <c r="AQ97" s="415"/>
      <c r="AR97" s="415"/>
      <c r="AS97" s="416"/>
      <c r="AT97" s="415"/>
      <c r="AU97" s="415"/>
      <c r="AV97" s="415"/>
      <c r="AW97" s="415"/>
      <c r="AX97" s="415"/>
      <c r="AY97" s="415"/>
      <c r="AZ97" s="415"/>
      <c r="BA97" s="415"/>
      <c r="BB97" s="415"/>
      <c r="BC97" s="415"/>
      <c r="BD97" s="415"/>
      <c r="BE97" s="415"/>
      <c r="BF97" s="416"/>
      <c r="BG97" s="415"/>
      <c r="BH97" s="415"/>
      <c r="BI97" s="415"/>
      <c r="BJ97" s="415"/>
      <c r="BK97" s="415"/>
      <c r="BL97" s="415"/>
      <c r="BM97" s="415"/>
      <c r="BN97" s="415"/>
      <c r="BO97" s="415"/>
      <c r="BP97" s="415"/>
      <c r="BQ97" s="415"/>
      <c r="BR97" s="415"/>
      <c r="BS97" s="416"/>
      <c r="BT97" s="415"/>
      <c r="BU97" s="415"/>
      <c r="BV97" s="415"/>
      <c r="BW97" s="415"/>
      <c r="BX97" s="415"/>
      <c r="BY97" s="415"/>
      <c r="BZ97" s="415"/>
      <c r="CA97" s="415"/>
      <c r="CB97" s="415"/>
      <c r="CC97" s="415"/>
      <c r="CD97" s="415"/>
      <c r="CE97" s="415"/>
      <c r="CF97" s="416"/>
    </row>
    <row r="98" spans="1:84">
      <c r="A98" s="399"/>
      <c r="B98" s="399" t="s">
        <v>137</v>
      </c>
      <c r="C98" s="424" t="s">
        <v>651</v>
      </c>
      <c r="D98" s="413">
        <v>175000</v>
      </c>
      <c r="E98" s="413"/>
      <c r="F98" s="414" t="s">
        <v>313</v>
      </c>
      <c r="G98" s="415">
        <f t="shared" ref="G98:G100" si="278">IF($F98=$G$6,(D98/12)+(E98/12),0)</f>
        <v>0</v>
      </c>
      <c r="H98" s="415">
        <f t="shared" ref="H98:R100" si="279">G98</f>
        <v>0</v>
      </c>
      <c r="I98" s="415">
        <f t="shared" si="279"/>
        <v>0</v>
      </c>
      <c r="J98" s="415">
        <f t="shared" si="279"/>
        <v>0</v>
      </c>
      <c r="K98" s="415">
        <f t="shared" si="279"/>
        <v>0</v>
      </c>
      <c r="L98" s="415">
        <f t="shared" si="279"/>
        <v>0</v>
      </c>
      <c r="M98" s="415">
        <f t="shared" si="279"/>
        <v>0</v>
      </c>
      <c r="N98" s="415">
        <f t="shared" si="279"/>
        <v>0</v>
      </c>
      <c r="O98" s="415">
        <f t="shared" si="279"/>
        <v>0</v>
      </c>
      <c r="P98" s="415">
        <f t="shared" si="279"/>
        <v>0</v>
      </c>
      <c r="Q98" s="415">
        <f t="shared" si="279"/>
        <v>0</v>
      </c>
      <c r="R98" s="415">
        <f t="shared" si="279"/>
        <v>0</v>
      </c>
      <c r="S98" s="416">
        <f t="shared" ref="S98:S100" si="280">SUM(G98:R98)</f>
        <v>0</v>
      </c>
      <c r="T98" s="415">
        <f t="shared" ref="T98:T100" si="281">IF($F98=T$6,(($D98+$E98)*(1+$T$8))/12,R98*(1+T$8))</f>
        <v>0</v>
      </c>
      <c r="U98" s="415">
        <f t="shared" ref="U98:AE100" si="282">IF($F98=U$6,(($D98+$E98)/12),T98)</f>
        <v>0</v>
      </c>
      <c r="V98" s="415">
        <f t="shared" si="282"/>
        <v>0</v>
      </c>
      <c r="W98" s="415">
        <f t="shared" si="282"/>
        <v>0</v>
      </c>
      <c r="X98" s="415">
        <f t="shared" si="282"/>
        <v>0</v>
      </c>
      <c r="Y98" s="415">
        <f t="shared" si="282"/>
        <v>0</v>
      </c>
      <c r="Z98" s="415">
        <f t="shared" si="282"/>
        <v>0</v>
      </c>
      <c r="AA98" s="415">
        <f t="shared" si="282"/>
        <v>0</v>
      </c>
      <c r="AB98" s="415">
        <f t="shared" si="282"/>
        <v>0</v>
      </c>
      <c r="AC98" s="415">
        <f t="shared" si="282"/>
        <v>0</v>
      </c>
      <c r="AD98" s="415">
        <f t="shared" si="282"/>
        <v>0</v>
      </c>
      <c r="AE98" s="415">
        <f t="shared" si="282"/>
        <v>0</v>
      </c>
      <c r="AF98" s="416">
        <f t="shared" ref="AF98:AF100" si="283">SUM(T98:AE98)</f>
        <v>0</v>
      </c>
      <c r="AG98" s="415">
        <f t="shared" ref="AG98:AG100" si="284">IF($F98=AG$6,($D98+$E98)/12,AE98*(1+AG$8))</f>
        <v>0</v>
      </c>
      <c r="AH98" s="415">
        <f t="shared" ref="AH98:AR100" si="285">IF($F98=AH$6,(($D98+$E98)/12),AG98)</f>
        <v>0</v>
      </c>
      <c r="AI98" s="415">
        <f t="shared" si="285"/>
        <v>0</v>
      </c>
      <c r="AJ98" s="415">
        <f t="shared" si="285"/>
        <v>0</v>
      </c>
      <c r="AK98" s="415">
        <f t="shared" si="285"/>
        <v>0</v>
      </c>
      <c r="AL98" s="415">
        <f t="shared" si="285"/>
        <v>0</v>
      </c>
      <c r="AM98" s="415">
        <f t="shared" si="285"/>
        <v>14583.333333333334</v>
      </c>
      <c r="AN98" s="415">
        <f t="shared" si="285"/>
        <v>14583.333333333334</v>
      </c>
      <c r="AO98" s="415">
        <f t="shared" si="285"/>
        <v>14583.333333333334</v>
      </c>
      <c r="AP98" s="415">
        <f t="shared" si="285"/>
        <v>14583.333333333334</v>
      </c>
      <c r="AQ98" s="415">
        <f t="shared" si="285"/>
        <v>14583.333333333334</v>
      </c>
      <c r="AR98" s="415">
        <f t="shared" si="285"/>
        <v>14583.333333333334</v>
      </c>
      <c r="AS98" s="416">
        <f t="shared" ref="AS98:AS100" si="286">SUM(AG98:AR98)</f>
        <v>87500</v>
      </c>
      <c r="AT98" s="415">
        <f t="shared" ref="AT98:AT100" si="287">IF($F98=AT$6,($D98+$E98)/12,AR98*(1+AT$8))</f>
        <v>15166.666666666668</v>
      </c>
      <c r="AU98" s="415">
        <f t="shared" ref="AU98:BE100" si="288">IF($F98=AU$6,(($D98+$E98)/12),AT98)</f>
        <v>15166.666666666668</v>
      </c>
      <c r="AV98" s="415">
        <f t="shared" si="288"/>
        <v>15166.666666666668</v>
      </c>
      <c r="AW98" s="415">
        <f t="shared" si="288"/>
        <v>15166.666666666668</v>
      </c>
      <c r="AX98" s="415">
        <f t="shared" si="288"/>
        <v>15166.666666666668</v>
      </c>
      <c r="AY98" s="415">
        <f t="shared" si="288"/>
        <v>15166.666666666668</v>
      </c>
      <c r="AZ98" s="415">
        <f t="shared" si="288"/>
        <v>15166.666666666668</v>
      </c>
      <c r="BA98" s="415">
        <f t="shared" si="288"/>
        <v>15166.666666666668</v>
      </c>
      <c r="BB98" s="415">
        <f t="shared" si="288"/>
        <v>15166.666666666668</v>
      </c>
      <c r="BC98" s="415">
        <f t="shared" si="288"/>
        <v>15166.666666666668</v>
      </c>
      <c r="BD98" s="415">
        <f t="shared" si="288"/>
        <v>15166.666666666668</v>
      </c>
      <c r="BE98" s="415">
        <f t="shared" si="288"/>
        <v>15166.666666666668</v>
      </c>
      <c r="BF98" s="416">
        <f t="shared" ref="BF98:BF100" si="289">SUM(AT98:BE98)</f>
        <v>182000</v>
      </c>
      <c r="BG98" s="415">
        <f t="shared" ref="BG98:BG100" si="290">IF($F98=BG$6,($D98+$E98)/12,BE98*(1+BG$8))</f>
        <v>15773.333333333336</v>
      </c>
      <c r="BH98" s="415">
        <f t="shared" ref="BH98:BR100" si="291">IF($F98=BH$6,(($D98+$E98)/12),BG98)</f>
        <v>15773.333333333336</v>
      </c>
      <c r="BI98" s="415">
        <f t="shared" si="291"/>
        <v>15773.333333333336</v>
      </c>
      <c r="BJ98" s="415">
        <f t="shared" si="291"/>
        <v>15773.333333333336</v>
      </c>
      <c r="BK98" s="415">
        <f t="shared" si="291"/>
        <v>15773.333333333336</v>
      </c>
      <c r="BL98" s="415">
        <f t="shared" si="291"/>
        <v>15773.333333333336</v>
      </c>
      <c r="BM98" s="415">
        <f t="shared" si="291"/>
        <v>15773.333333333336</v>
      </c>
      <c r="BN98" s="415">
        <f t="shared" si="291"/>
        <v>15773.333333333336</v>
      </c>
      <c r="BO98" s="415">
        <f t="shared" si="291"/>
        <v>15773.333333333336</v>
      </c>
      <c r="BP98" s="415">
        <f t="shared" si="291"/>
        <v>15773.333333333336</v>
      </c>
      <c r="BQ98" s="415">
        <f t="shared" si="291"/>
        <v>15773.333333333336</v>
      </c>
      <c r="BR98" s="415">
        <f t="shared" si="291"/>
        <v>15773.333333333336</v>
      </c>
      <c r="BS98" s="416">
        <f t="shared" ref="BS98:BS100" si="292">SUM(BG98:BR98)</f>
        <v>189280.00000000009</v>
      </c>
      <c r="BT98" s="415">
        <f t="shared" ref="BT98:BT100" si="293">IF($F98=BT$6,($D98+$E98)/12,BR98*(1+BT$8))</f>
        <v>16404.26666666667</v>
      </c>
      <c r="BU98" s="415">
        <f t="shared" ref="BU98:CE100" si="294">IF($F98=BU$6,(($D98+$E98)/12),BT98)</f>
        <v>16404.26666666667</v>
      </c>
      <c r="BV98" s="415">
        <f t="shared" si="294"/>
        <v>16404.26666666667</v>
      </c>
      <c r="BW98" s="415">
        <f t="shared" si="294"/>
        <v>16404.26666666667</v>
      </c>
      <c r="BX98" s="415">
        <f t="shared" si="294"/>
        <v>16404.26666666667</v>
      </c>
      <c r="BY98" s="415">
        <f t="shared" si="294"/>
        <v>16404.26666666667</v>
      </c>
      <c r="BZ98" s="415">
        <f t="shared" si="294"/>
        <v>16404.26666666667</v>
      </c>
      <c r="CA98" s="415">
        <f t="shared" si="294"/>
        <v>16404.26666666667</v>
      </c>
      <c r="CB98" s="415">
        <f t="shared" si="294"/>
        <v>16404.26666666667</v>
      </c>
      <c r="CC98" s="415">
        <f t="shared" si="294"/>
        <v>16404.26666666667</v>
      </c>
      <c r="CD98" s="415">
        <f t="shared" si="294"/>
        <v>16404.26666666667</v>
      </c>
      <c r="CE98" s="415">
        <f t="shared" si="294"/>
        <v>16404.26666666667</v>
      </c>
      <c r="CF98" s="416">
        <f t="shared" ref="CF98:CF100" si="295">SUM(BT98:CE98)</f>
        <v>196851.19999999998</v>
      </c>
    </row>
    <row r="99" spans="1:84">
      <c r="A99" s="399"/>
      <c r="B99" s="399" t="s">
        <v>137</v>
      </c>
      <c r="C99" s="424" t="s">
        <v>652</v>
      </c>
      <c r="D99" s="413">
        <v>125000</v>
      </c>
      <c r="E99" s="413"/>
      <c r="F99" s="414" t="s">
        <v>319</v>
      </c>
      <c r="G99" s="415">
        <f t="shared" si="278"/>
        <v>0</v>
      </c>
      <c r="H99" s="415">
        <f t="shared" si="279"/>
        <v>0</v>
      </c>
      <c r="I99" s="415">
        <f t="shared" si="279"/>
        <v>0</v>
      </c>
      <c r="J99" s="415">
        <f t="shared" si="279"/>
        <v>0</v>
      </c>
      <c r="K99" s="415">
        <f t="shared" si="279"/>
        <v>0</v>
      </c>
      <c r="L99" s="415">
        <f t="shared" si="279"/>
        <v>0</v>
      </c>
      <c r="M99" s="415">
        <f t="shared" si="279"/>
        <v>0</v>
      </c>
      <c r="N99" s="415">
        <f t="shared" si="279"/>
        <v>0</v>
      </c>
      <c r="O99" s="415">
        <f t="shared" si="279"/>
        <v>0</v>
      </c>
      <c r="P99" s="415">
        <f t="shared" si="279"/>
        <v>0</v>
      </c>
      <c r="Q99" s="415">
        <f t="shared" si="279"/>
        <v>0</v>
      </c>
      <c r="R99" s="415">
        <f t="shared" si="279"/>
        <v>0</v>
      </c>
      <c r="S99" s="416">
        <f t="shared" si="280"/>
        <v>0</v>
      </c>
      <c r="T99" s="415">
        <f t="shared" si="281"/>
        <v>0</v>
      </c>
      <c r="U99" s="415">
        <f t="shared" si="282"/>
        <v>0</v>
      </c>
      <c r="V99" s="415">
        <f t="shared" si="282"/>
        <v>0</v>
      </c>
      <c r="W99" s="415">
        <f t="shared" si="282"/>
        <v>0</v>
      </c>
      <c r="X99" s="415">
        <f t="shared" si="282"/>
        <v>0</v>
      </c>
      <c r="Y99" s="415">
        <f t="shared" si="282"/>
        <v>0</v>
      </c>
      <c r="Z99" s="415">
        <f t="shared" si="282"/>
        <v>0</v>
      </c>
      <c r="AA99" s="415">
        <f t="shared" si="282"/>
        <v>0</v>
      </c>
      <c r="AB99" s="415">
        <f t="shared" si="282"/>
        <v>0</v>
      </c>
      <c r="AC99" s="415">
        <f t="shared" si="282"/>
        <v>0</v>
      </c>
      <c r="AD99" s="415">
        <f t="shared" si="282"/>
        <v>0</v>
      </c>
      <c r="AE99" s="415">
        <f t="shared" si="282"/>
        <v>0</v>
      </c>
      <c r="AF99" s="416">
        <f t="shared" si="283"/>
        <v>0</v>
      </c>
      <c r="AG99" s="415">
        <f t="shared" si="284"/>
        <v>0</v>
      </c>
      <c r="AH99" s="415">
        <f t="shared" si="285"/>
        <v>0</v>
      </c>
      <c r="AI99" s="415">
        <f t="shared" si="285"/>
        <v>0</v>
      </c>
      <c r="AJ99" s="415">
        <f t="shared" si="285"/>
        <v>0</v>
      </c>
      <c r="AK99" s="415">
        <f t="shared" si="285"/>
        <v>0</v>
      </c>
      <c r="AL99" s="415">
        <f t="shared" si="285"/>
        <v>0</v>
      </c>
      <c r="AM99" s="415">
        <f t="shared" si="285"/>
        <v>0</v>
      </c>
      <c r="AN99" s="415">
        <f t="shared" si="285"/>
        <v>0</v>
      </c>
      <c r="AO99" s="415">
        <f t="shared" si="285"/>
        <v>0</v>
      </c>
      <c r="AP99" s="415">
        <f t="shared" si="285"/>
        <v>0</v>
      </c>
      <c r="AQ99" s="415">
        <f t="shared" si="285"/>
        <v>0</v>
      </c>
      <c r="AR99" s="415">
        <f t="shared" si="285"/>
        <v>0</v>
      </c>
      <c r="AS99" s="416">
        <f t="shared" si="286"/>
        <v>0</v>
      </c>
      <c r="AT99" s="415">
        <f t="shared" si="287"/>
        <v>10416.666666666666</v>
      </c>
      <c r="AU99" s="415">
        <f t="shared" si="288"/>
        <v>10416.666666666666</v>
      </c>
      <c r="AV99" s="415">
        <f t="shared" si="288"/>
        <v>10416.666666666666</v>
      </c>
      <c r="AW99" s="415">
        <f t="shared" si="288"/>
        <v>10416.666666666666</v>
      </c>
      <c r="AX99" s="415">
        <f t="shared" si="288"/>
        <v>10416.666666666666</v>
      </c>
      <c r="AY99" s="415">
        <f t="shared" si="288"/>
        <v>10416.666666666666</v>
      </c>
      <c r="AZ99" s="415">
        <f t="shared" si="288"/>
        <v>10416.666666666666</v>
      </c>
      <c r="BA99" s="415">
        <f t="shared" si="288"/>
        <v>10416.666666666666</v>
      </c>
      <c r="BB99" s="415">
        <f t="shared" si="288"/>
        <v>10416.666666666666</v>
      </c>
      <c r="BC99" s="415">
        <f t="shared" si="288"/>
        <v>10416.666666666666</v>
      </c>
      <c r="BD99" s="415">
        <f t="shared" si="288"/>
        <v>10416.666666666666</v>
      </c>
      <c r="BE99" s="415">
        <f t="shared" si="288"/>
        <v>10416.666666666666</v>
      </c>
      <c r="BF99" s="416">
        <f t="shared" si="289"/>
        <v>125000.00000000001</v>
      </c>
      <c r="BG99" s="415">
        <f t="shared" si="290"/>
        <v>10833.333333333334</v>
      </c>
      <c r="BH99" s="415">
        <f t="shared" si="291"/>
        <v>10833.333333333334</v>
      </c>
      <c r="BI99" s="415">
        <f t="shared" si="291"/>
        <v>10833.333333333334</v>
      </c>
      <c r="BJ99" s="415">
        <f t="shared" si="291"/>
        <v>10833.333333333334</v>
      </c>
      <c r="BK99" s="415">
        <f t="shared" si="291"/>
        <v>10833.333333333334</v>
      </c>
      <c r="BL99" s="415">
        <f t="shared" si="291"/>
        <v>10833.333333333334</v>
      </c>
      <c r="BM99" s="415">
        <f t="shared" si="291"/>
        <v>10833.333333333334</v>
      </c>
      <c r="BN99" s="415">
        <f t="shared" si="291"/>
        <v>10833.333333333334</v>
      </c>
      <c r="BO99" s="415">
        <f t="shared" si="291"/>
        <v>10833.333333333334</v>
      </c>
      <c r="BP99" s="415">
        <f t="shared" si="291"/>
        <v>10833.333333333334</v>
      </c>
      <c r="BQ99" s="415">
        <f t="shared" si="291"/>
        <v>10833.333333333334</v>
      </c>
      <c r="BR99" s="415">
        <f t="shared" si="291"/>
        <v>10833.333333333334</v>
      </c>
      <c r="BS99" s="416">
        <f t="shared" si="292"/>
        <v>129999.99999999999</v>
      </c>
      <c r="BT99" s="415">
        <f t="shared" si="293"/>
        <v>11266.666666666668</v>
      </c>
      <c r="BU99" s="415">
        <f t="shared" si="294"/>
        <v>11266.666666666668</v>
      </c>
      <c r="BV99" s="415">
        <f t="shared" si="294"/>
        <v>11266.666666666668</v>
      </c>
      <c r="BW99" s="415">
        <f t="shared" si="294"/>
        <v>11266.666666666668</v>
      </c>
      <c r="BX99" s="415">
        <f t="shared" si="294"/>
        <v>11266.666666666668</v>
      </c>
      <c r="BY99" s="415">
        <f t="shared" si="294"/>
        <v>11266.666666666668</v>
      </c>
      <c r="BZ99" s="415">
        <f t="shared" si="294"/>
        <v>11266.666666666668</v>
      </c>
      <c r="CA99" s="415">
        <f t="shared" si="294"/>
        <v>11266.666666666668</v>
      </c>
      <c r="CB99" s="415">
        <f t="shared" si="294"/>
        <v>11266.666666666668</v>
      </c>
      <c r="CC99" s="415">
        <f t="shared" si="294"/>
        <v>11266.666666666668</v>
      </c>
      <c r="CD99" s="415">
        <f t="shared" si="294"/>
        <v>11266.666666666668</v>
      </c>
      <c r="CE99" s="415">
        <f t="shared" si="294"/>
        <v>11266.666666666668</v>
      </c>
      <c r="CF99" s="416">
        <f t="shared" si="295"/>
        <v>135200.00000000003</v>
      </c>
    </row>
    <row r="100" spans="1:84">
      <c r="A100" s="399"/>
      <c r="B100" s="399" t="s">
        <v>137</v>
      </c>
      <c r="C100" s="424" t="s">
        <v>653</v>
      </c>
      <c r="D100" s="413">
        <v>90000</v>
      </c>
      <c r="E100" s="413"/>
      <c r="F100" s="414" t="s">
        <v>319</v>
      </c>
      <c r="G100" s="415">
        <f t="shared" si="278"/>
        <v>0</v>
      </c>
      <c r="H100" s="415">
        <f t="shared" si="279"/>
        <v>0</v>
      </c>
      <c r="I100" s="415">
        <f t="shared" si="279"/>
        <v>0</v>
      </c>
      <c r="J100" s="415">
        <f t="shared" si="279"/>
        <v>0</v>
      </c>
      <c r="K100" s="415">
        <f t="shared" si="279"/>
        <v>0</v>
      </c>
      <c r="L100" s="415">
        <f t="shared" si="279"/>
        <v>0</v>
      </c>
      <c r="M100" s="415">
        <f t="shared" si="279"/>
        <v>0</v>
      </c>
      <c r="N100" s="415">
        <f t="shared" si="279"/>
        <v>0</v>
      </c>
      <c r="O100" s="415">
        <f t="shared" si="279"/>
        <v>0</v>
      </c>
      <c r="P100" s="415">
        <f t="shared" si="279"/>
        <v>0</v>
      </c>
      <c r="Q100" s="415">
        <f t="shared" si="279"/>
        <v>0</v>
      </c>
      <c r="R100" s="415">
        <f t="shared" si="279"/>
        <v>0</v>
      </c>
      <c r="S100" s="416">
        <f t="shared" si="280"/>
        <v>0</v>
      </c>
      <c r="T100" s="415">
        <f t="shared" si="281"/>
        <v>0</v>
      </c>
      <c r="U100" s="415">
        <f t="shared" si="282"/>
        <v>0</v>
      </c>
      <c r="V100" s="415">
        <f t="shared" si="282"/>
        <v>0</v>
      </c>
      <c r="W100" s="415">
        <f t="shared" si="282"/>
        <v>0</v>
      </c>
      <c r="X100" s="415">
        <f t="shared" si="282"/>
        <v>0</v>
      </c>
      <c r="Y100" s="415">
        <f t="shared" si="282"/>
        <v>0</v>
      </c>
      <c r="Z100" s="415">
        <f t="shared" si="282"/>
        <v>0</v>
      </c>
      <c r="AA100" s="415">
        <f t="shared" si="282"/>
        <v>0</v>
      </c>
      <c r="AB100" s="415">
        <f t="shared" si="282"/>
        <v>0</v>
      </c>
      <c r="AC100" s="415">
        <f t="shared" si="282"/>
        <v>0</v>
      </c>
      <c r="AD100" s="415">
        <f t="shared" si="282"/>
        <v>0</v>
      </c>
      <c r="AE100" s="415">
        <f t="shared" si="282"/>
        <v>0</v>
      </c>
      <c r="AF100" s="416">
        <f t="shared" si="283"/>
        <v>0</v>
      </c>
      <c r="AG100" s="415">
        <f t="shared" si="284"/>
        <v>0</v>
      </c>
      <c r="AH100" s="415">
        <f t="shared" si="285"/>
        <v>0</v>
      </c>
      <c r="AI100" s="415">
        <f t="shared" si="285"/>
        <v>0</v>
      </c>
      <c r="AJ100" s="415">
        <f t="shared" si="285"/>
        <v>0</v>
      </c>
      <c r="AK100" s="415">
        <f t="shared" si="285"/>
        <v>0</v>
      </c>
      <c r="AL100" s="415">
        <f t="shared" si="285"/>
        <v>0</v>
      </c>
      <c r="AM100" s="415">
        <f t="shared" si="285"/>
        <v>0</v>
      </c>
      <c r="AN100" s="415">
        <f t="shared" si="285"/>
        <v>0</v>
      </c>
      <c r="AO100" s="415">
        <f t="shared" si="285"/>
        <v>0</v>
      </c>
      <c r="AP100" s="415">
        <f t="shared" si="285"/>
        <v>0</v>
      </c>
      <c r="AQ100" s="415">
        <f t="shared" si="285"/>
        <v>0</v>
      </c>
      <c r="AR100" s="415">
        <f t="shared" si="285"/>
        <v>0</v>
      </c>
      <c r="AS100" s="416">
        <f t="shared" si="286"/>
        <v>0</v>
      </c>
      <c r="AT100" s="415">
        <f t="shared" si="287"/>
        <v>7500</v>
      </c>
      <c r="AU100" s="415">
        <f t="shared" si="288"/>
        <v>7500</v>
      </c>
      <c r="AV100" s="415">
        <f t="shared" si="288"/>
        <v>7500</v>
      </c>
      <c r="AW100" s="415">
        <f t="shared" si="288"/>
        <v>7500</v>
      </c>
      <c r="AX100" s="415">
        <f t="shared" si="288"/>
        <v>7500</v>
      </c>
      <c r="AY100" s="415">
        <f t="shared" si="288"/>
        <v>7500</v>
      </c>
      <c r="AZ100" s="415">
        <f t="shared" si="288"/>
        <v>7500</v>
      </c>
      <c r="BA100" s="415">
        <f t="shared" si="288"/>
        <v>7500</v>
      </c>
      <c r="BB100" s="415">
        <f t="shared" si="288"/>
        <v>7500</v>
      </c>
      <c r="BC100" s="415">
        <f t="shared" si="288"/>
        <v>7500</v>
      </c>
      <c r="BD100" s="415">
        <f t="shared" si="288"/>
        <v>7500</v>
      </c>
      <c r="BE100" s="415">
        <f t="shared" si="288"/>
        <v>7500</v>
      </c>
      <c r="BF100" s="416">
        <f t="shared" si="289"/>
        <v>90000</v>
      </c>
      <c r="BG100" s="415">
        <f t="shared" si="290"/>
        <v>7800</v>
      </c>
      <c r="BH100" s="415">
        <f t="shared" si="291"/>
        <v>7800</v>
      </c>
      <c r="BI100" s="415">
        <f t="shared" si="291"/>
        <v>7800</v>
      </c>
      <c r="BJ100" s="415">
        <f t="shared" si="291"/>
        <v>7800</v>
      </c>
      <c r="BK100" s="415">
        <f t="shared" si="291"/>
        <v>7800</v>
      </c>
      <c r="BL100" s="415">
        <f t="shared" si="291"/>
        <v>7800</v>
      </c>
      <c r="BM100" s="415">
        <f t="shared" si="291"/>
        <v>7800</v>
      </c>
      <c r="BN100" s="415">
        <f t="shared" si="291"/>
        <v>7800</v>
      </c>
      <c r="BO100" s="415">
        <f t="shared" si="291"/>
        <v>7800</v>
      </c>
      <c r="BP100" s="415">
        <f t="shared" si="291"/>
        <v>7800</v>
      </c>
      <c r="BQ100" s="415">
        <f t="shared" si="291"/>
        <v>7800</v>
      </c>
      <c r="BR100" s="415">
        <f t="shared" si="291"/>
        <v>7800</v>
      </c>
      <c r="BS100" s="416">
        <f t="shared" si="292"/>
        <v>93600</v>
      </c>
      <c r="BT100" s="415">
        <f t="shared" si="293"/>
        <v>8112</v>
      </c>
      <c r="BU100" s="415">
        <f t="shared" si="294"/>
        <v>8112</v>
      </c>
      <c r="BV100" s="415">
        <f t="shared" si="294"/>
        <v>8112</v>
      </c>
      <c r="BW100" s="415">
        <f t="shared" si="294"/>
        <v>8112</v>
      </c>
      <c r="BX100" s="415">
        <f t="shared" si="294"/>
        <v>8112</v>
      </c>
      <c r="BY100" s="415">
        <f t="shared" si="294"/>
        <v>8112</v>
      </c>
      <c r="BZ100" s="415">
        <f t="shared" si="294"/>
        <v>8112</v>
      </c>
      <c r="CA100" s="415">
        <f t="shared" si="294"/>
        <v>8112</v>
      </c>
      <c r="CB100" s="415">
        <f t="shared" si="294"/>
        <v>8112</v>
      </c>
      <c r="CC100" s="415">
        <f t="shared" si="294"/>
        <v>8112</v>
      </c>
      <c r="CD100" s="415">
        <f t="shared" si="294"/>
        <v>8112</v>
      </c>
      <c r="CE100" s="415">
        <f t="shared" si="294"/>
        <v>8112</v>
      </c>
      <c r="CF100" s="416">
        <f t="shared" si="295"/>
        <v>97344</v>
      </c>
    </row>
    <row r="102" spans="1:84">
      <c r="A102" s="430" t="s">
        <v>300</v>
      </c>
      <c r="B102" s="431"/>
      <c r="C102" s="430"/>
      <c r="D102" s="431"/>
      <c r="E102" s="431"/>
      <c r="F102" s="431"/>
      <c r="G102" s="432">
        <f t="shared" ref="G102:R102" si="296">SUM(G10:G101)</f>
        <v>140000</v>
      </c>
      <c r="H102" s="432">
        <f t="shared" si="296"/>
        <v>140000</v>
      </c>
      <c r="I102" s="432">
        <f t="shared" si="296"/>
        <v>140000</v>
      </c>
      <c r="J102" s="432">
        <f t="shared" si="296"/>
        <v>140000</v>
      </c>
      <c r="K102" s="432">
        <f t="shared" si="296"/>
        <v>140000</v>
      </c>
      <c r="L102" s="432">
        <f t="shared" si="296"/>
        <v>140000</v>
      </c>
      <c r="M102" s="432">
        <f t="shared" si="296"/>
        <v>140000</v>
      </c>
      <c r="N102" s="432">
        <f t="shared" si="296"/>
        <v>140000</v>
      </c>
      <c r="O102" s="432">
        <f t="shared" si="296"/>
        <v>140000</v>
      </c>
      <c r="P102" s="432">
        <f t="shared" si="296"/>
        <v>140000</v>
      </c>
      <c r="Q102" s="432">
        <f t="shared" si="296"/>
        <v>140000</v>
      </c>
      <c r="R102" s="432">
        <f t="shared" si="296"/>
        <v>140000</v>
      </c>
      <c r="S102" s="422">
        <f>SUM(G102:R102)</f>
        <v>1680000</v>
      </c>
      <c r="T102" s="432">
        <f t="shared" ref="T102:AE102" si="297">SUM(T10:T101)</f>
        <v>145416.66666666666</v>
      </c>
      <c r="U102" s="432">
        <f t="shared" si="297"/>
        <v>150833.33333333334</v>
      </c>
      <c r="V102" s="432">
        <f t="shared" si="297"/>
        <v>167500</v>
      </c>
      <c r="W102" s="432">
        <f t="shared" si="297"/>
        <v>195416.66666666669</v>
      </c>
      <c r="X102" s="432">
        <f t="shared" si="297"/>
        <v>195416.66666666669</v>
      </c>
      <c r="Y102" s="432">
        <f t="shared" si="297"/>
        <v>195416.66666666669</v>
      </c>
      <c r="Z102" s="432">
        <f t="shared" si="297"/>
        <v>195416.66666666669</v>
      </c>
      <c r="AA102" s="432">
        <f t="shared" si="297"/>
        <v>195416.66666666669</v>
      </c>
      <c r="AB102" s="432">
        <f t="shared" si="297"/>
        <v>95416.666666666672</v>
      </c>
      <c r="AC102" s="432">
        <f t="shared" si="297"/>
        <v>195416.66666666669</v>
      </c>
      <c r="AD102" s="432">
        <f t="shared" si="297"/>
        <v>195416.66666666669</v>
      </c>
      <c r="AE102" s="432">
        <f t="shared" si="297"/>
        <v>195416.66666666669</v>
      </c>
      <c r="AF102" s="422">
        <f>SUM(T102:AE102)</f>
        <v>2122500.0000000005</v>
      </c>
      <c r="AG102" s="432">
        <f t="shared" ref="AG102:AR102" si="298">SUM(AG10:AG101)</f>
        <v>203233.33333333331</v>
      </c>
      <c r="AH102" s="432">
        <f t="shared" si="298"/>
        <v>203233.33333333331</v>
      </c>
      <c r="AI102" s="432">
        <f t="shared" si="298"/>
        <v>203233.33333333331</v>
      </c>
      <c r="AJ102" s="432">
        <f t="shared" si="298"/>
        <v>218233.33333333331</v>
      </c>
      <c r="AK102" s="432">
        <f t="shared" si="298"/>
        <v>246566.66666666666</v>
      </c>
      <c r="AL102" s="432">
        <f t="shared" si="298"/>
        <v>299483.33333333337</v>
      </c>
      <c r="AM102" s="432">
        <f t="shared" si="298"/>
        <v>439900.00000000006</v>
      </c>
      <c r="AN102" s="432">
        <f t="shared" si="298"/>
        <v>439900.00000000006</v>
      </c>
      <c r="AO102" s="432">
        <f t="shared" si="298"/>
        <v>439900.00000000006</v>
      </c>
      <c r="AP102" s="432">
        <f t="shared" si="298"/>
        <v>439900.00000000006</v>
      </c>
      <c r="AQ102" s="432">
        <f t="shared" si="298"/>
        <v>439900.00000000006</v>
      </c>
      <c r="AR102" s="432">
        <f t="shared" si="298"/>
        <v>439900.00000000006</v>
      </c>
      <c r="AS102" s="422">
        <f t="shared" si="12"/>
        <v>4013383.3333333335</v>
      </c>
      <c r="AT102" s="432">
        <f t="shared" ref="AT102:BE102" si="299">SUM(AT10:AT101)</f>
        <v>859579.3333333336</v>
      </c>
      <c r="AU102" s="432">
        <f t="shared" si="299"/>
        <v>859579.3333333336</v>
      </c>
      <c r="AV102" s="432">
        <f t="shared" si="299"/>
        <v>859579.3333333336</v>
      </c>
      <c r="AW102" s="432">
        <f t="shared" si="299"/>
        <v>876246.00000000023</v>
      </c>
      <c r="AX102" s="432">
        <f t="shared" si="299"/>
        <v>876246.00000000023</v>
      </c>
      <c r="AY102" s="432">
        <f t="shared" si="299"/>
        <v>876246.00000000023</v>
      </c>
      <c r="AZ102" s="432">
        <f t="shared" si="299"/>
        <v>876246.00000000023</v>
      </c>
      <c r="BA102" s="432">
        <f t="shared" si="299"/>
        <v>876246.00000000023</v>
      </c>
      <c r="BB102" s="432">
        <f t="shared" si="299"/>
        <v>876246.00000000023</v>
      </c>
      <c r="BC102" s="432">
        <f t="shared" si="299"/>
        <v>876246.00000000023</v>
      </c>
      <c r="BD102" s="432">
        <f t="shared" si="299"/>
        <v>876246.00000000023</v>
      </c>
      <c r="BE102" s="432">
        <f t="shared" si="299"/>
        <v>876246.00000000023</v>
      </c>
      <c r="BF102" s="422">
        <f t="shared" si="15"/>
        <v>10464952.000000002</v>
      </c>
      <c r="BG102" s="432">
        <f t="shared" ref="BG102:BR102" si="300">SUM(BG10:BG101)</f>
        <v>911295.84</v>
      </c>
      <c r="BH102" s="432">
        <f t="shared" si="300"/>
        <v>911295.84</v>
      </c>
      <c r="BI102" s="432">
        <f t="shared" si="300"/>
        <v>911295.84</v>
      </c>
      <c r="BJ102" s="432">
        <f t="shared" si="300"/>
        <v>911295.84</v>
      </c>
      <c r="BK102" s="432">
        <f t="shared" si="300"/>
        <v>911295.84</v>
      </c>
      <c r="BL102" s="432">
        <f t="shared" si="300"/>
        <v>911295.84</v>
      </c>
      <c r="BM102" s="432">
        <f t="shared" si="300"/>
        <v>911295.84</v>
      </c>
      <c r="BN102" s="432">
        <f t="shared" si="300"/>
        <v>911295.84</v>
      </c>
      <c r="BO102" s="432">
        <f t="shared" si="300"/>
        <v>911295.84</v>
      </c>
      <c r="BP102" s="432">
        <f t="shared" si="300"/>
        <v>911295.84</v>
      </c>
      <c r="BQ102" s="432">
        <f t="shared" si="300"/>
        <v>911295.84</v>
      </c>
      <c r="BR102" s="432">
        <f t="shared" si="300"/>
        <v>911295.84</v>
      </c>
      <c r="BS102" s="422">
        <f t="shared" ref="BS102" si="301">SUM(BG102:BR102)</f>
        <v>10935550.08</v>
      </c>
      <c r="BT102" s="432">
        <f t="shared" ref="BT102:CE102" si="302">SUM(BT10:BT101)</f>
        <v>947747.67360000033</v>
      </c>
      <c r="BU102" s="432">
        <f t="shared" si="302"/>
        <v>947747.67360000033</v>
      </c>
      <c r="BV102" s="432">
        <f t="shared" si="302"/>
        <v>947747.67360000033</v>
      </c>
      <c r="BW102" s="432">
        <f t="shared" si="302"/>
        <v>947747.67360000033</v>
      </c>
      <c r="BX102" s="432">
        <f t="shared" si="302"/>
        <v>947747.67360000033</v>
      </c>
      <c r="BY102" s="432">
        <f t="shared" si="302"/>
        <v>947747.67360000033</v>
      </c>
      <c r="BZ102" s="432">
        <f t="shared" si="302"/>
        <v>947747.67360000033</v>
      </c>
      <c r="CA102" s="432">
        <f t="shared" si="302"/>
        <v>947747.67360000033</v>
      </c>
      <c r="CB102" s="432">
        <f t="shared" si="302"/>
        <v>947747.67360000033</v>
      </c>
      <c r="CC102" s="432">
        <f t="shared" si="302"/>
        <v>947747.67360000033</v>
      </c>
      <c r="CD102" s="432">
        <f t="shared" si="302"/>
        <v>947747.67360000033</v>
      </c>
      <c r="CE102" s="432">
        <f t="shared" si="302"/>
        <v>947747.67360000033</v>
      </c>
      <c r="CF102" s="422">
        <f t="shared" ref="CF102" si="303">SUM(BT102:CE102)</f>
        <v>11372972.0832</v>
      </c>
    </row>
    <row r="105" spans="1:84" ht="15.75" customHeight="1">
      <c r="A105" s="1198" t="s">
        <v>282</v>
      </c>
      <c r="B105" s="1198"/>
      <c r="C105" s="1198"/>
      <c r="D105" s="1198"/>
      <c r="E105" s="1198"/>
      <c r="F105" s="1198"/>
      <c r="G105" s="1198">
        <v>2017</v>
      </c>
      <c r="H105" s="1198"/>
      <c r="I105" s="1198"/>
      <c r="J105" s="1198"/>
      <c r="K105" s="1198"/>
      <c r="L105" s="1198"/>
      <c r="M105" s="1198"/>
      <c r="N105" s="1198"/>
      <c r="O105" s="1198"/>
      <c r="P105" s="1198"/>
      <c r="Q105" s="1198"/>
      <c r="R105" s="1198"/>
      <c r="S105" s="1198"/>
      <c r="T105" s="1198" t="s">
        <v>283</v>
      </c>
      <c r="U105" s="1198"/>
      <c r="V105" s="1198"/>
      <c r="W105" s="1198"/>
      <c r="X105" s="1198"/>
      <c r="Y105" s="1198"/>
      <c r="Z105" s="1198"/>
      <c r="AA105" s="1198"/>
      <c r="AB105" s="1198"/>
      <c r="AC105" s="1198"/>
      <c r="AD105" s="1198"/>
      <c r="AE105" s="1198"/>
      <c r="AF105" s="1198"/>
      <c r="AG105" s="1198" t="s">
        <v>576</v>
      </c>
      <c r="AH105" s="1198"/>
      <c r="AI105" s="1198"/>
      <c r="AJ105" s="1198"/>
      <c r="AK105" s="1198"/>
      <c r="AL105" s="1198"/>
      <c r="AM105" s="1198"/>
      <c r="AN105" s="1198"/>
      <c r="AO105" s="1198"/>
      <c r="AP105" s="1198"/>
      <c r="AQ105" s="1198"/>
      <c r="AR105" s="1198"/>
      <c r="AS105" s="1198"/>
      <c r="AT105" s="1198" t="s">
        <v>577</v>
      </c>
      <c r="AU105" s="1198"/>
      <c r="AV105" s="1198"/>
      <c r="AW105" s="1198"/>
      <c r="AX105" s="1198"/>
      <c r="AY105" s="1198"/>
      <c r="AZ105" s="1198"/>
      <c r="BA105" s="1198"/>
      <c r="BB105" s="1198"/>
      <c r="BC105" s="1198"/>
      <c r="BD105" s="1198"/>
      <c r="BE105" s="1198"/>
      <c r="BF105" s="1198"/>
      <c r="BG105" s="1198" t="s">
        <v>579</v>
      </c>
      <c r="BH105" s="1198"/>
      <c r="BI105" s="1198"/>
      <c r="BJ105" s="1198"/>
      <c r="BK105" s="1198"/>
      <c r="BL105" s="1198"/>
      <c r="BM105" s="1198"/>
      <c r="BN105" s="1198"/>
      <c r="BO105" s="1198"/>
      <c r="BP105" s="1198"/>
      <c r="BQ105" s="1198"/>
      <c r="BR105" s="1198"/>
      <c r="BS105" s="1198"/>
      <c r="BT105" s="1198" t="s">
        <v>580</v>
      </c>
      <c r="BU105" s="1198"/>
      <c r="BV105" s="1198"/>
      <c r="BW105" s="1198"/>
      <c r="BX105" s="1198"/>
      <c r="BY105" s="1198"/>
      <c r="BZ105" s="1198"/>
      <c r="CA105" s="1198"/>
      <c r="CB105" s="1198"/>
      <c r="CC105" s="1198"/>
      <c r="CD105" s="1198"/>
      <c r="CE105" s="1198"/>
      <c r="CF105" s="1198"/>
    </row>
    <row r="106" spans="1:84">
      <c r="A106" s="625" t="s">
        <v>783</v>
      </c>
      <c r="B106" s="397"/>
      <c r="C106" s="397"/>
      <c r="D106" s="397"/>
      <c r="E106" s="397"/>
      <c r="F106" s="397"/>
      <c r="G106" s="398" t="s">
        <v>49</v>
      </c>
      <c r="H106" s="398" t="s">
        <v>50</v>
      </c>
      <c r="I106" s="398" t="s">
        <v>51</v>
      </c>
      <c r="J106" s="398" t="s">
        <v>52</v>
      </c>
      <c r="K106" s="398" t="s">
        <v>53</v>
      </c>
      <c r="L106" s="398" t="s">
        <v>54</v>
      </c>
      <c r="M106" s="398" t="s">
        <v>55</v>
      </c>
      <c r="N106" s="398" t="s">
        <v>56</v>
      </c>
      <c r="O106" s="398" t="s">
        <v>57</v>
      </c>
      <c r="P106" s="398" t="s">
        <v>279</v>
      </c>
      <c r="Q106" s="398" t="s">
        <v>280</v>
      </c>
      <c r="R106" s="398" t="s">
        <v>281</v>
      </c>
      <c r="S106" s="398" t="s">
        <v>284</v>
      </c>
      <c r="T106" s="398" t="s">
        <v>49</v>
      </c>
      <c r="U106" s="398" t="s">
        <v>50</v>
      </c>
      <c r="V106" s="398" t="s">
        <v>51</v>
      </c>
      <c r="W106" s="398" t="s">
        <v>52</v>
      </c>
      <c r="X106" s="398" t="s">
        <v>53</v>
      </c>
      <c r="Y106" s="398" t="s">
        <v>54</v>
      </c>
      <c r="Z106" s="398" t="s">
        <v>55</v>
      </c>
      <c r="AA106" s="398" t="s">
        <v>56</v>
      </c>
      <c r="AB106" s="398" t="s">
        <v>57</v>
      </c>
      <c r="AC106" s="398" t="s">
        <v>58</v>
      </c>
      <c r="AD106" s="398" t="s">
        <v>59</v>
      </c>
      <c r="AE106" s="398" t="s">
        <v>60</v>
      </c>
      <c r="AF106" s="398" t="s">
        <v>65</v>
      </c>
      <c r="AG106" s="398" t="s">
        <v>291</v>
      </c>
      <c r="AH106" s="398" t="s">
        <v>308</v>
      </c>
      <c r="AI106" s="398" t="s">
        <v>309</v>
      </c>
      <c r="AJ106" s="398" t="s">
        <v>310</v>
      </c>
      <c r="AK106" s="398" t="s">
        <v>311</v>
      </c>
      <c r="AL106" s="398" t="s">
        <v>312</v>
      </c>
      <c r="AM106" s="398" t="s">
        <v>313</v>
      </c>
      <c r="AN106" s="398" t="s">
        <v>314</v>
      </c>
      <c r="AO106" s="398" t="s">
        <v>315</v>
      </c>
      <c r="AP106" s="398" t="s">
        <v>316</v>
      </c>
      <c r="AQ106" s="398" t="s">
        <v>317</v>
      </c>
      <c r="AR106" s="398" t="s">
        <v>318</v>
      </c>
      <c r="AS106" s="398" t="s">
        <v>121</v>
      </c>
      <c r="AT106" s="398" t="s">
        <v>319</v>
      </c>
      <c r="AU106" s="398" t="s">
        <v>320</v>
      </c>
      <c r="AV106" s="398" t="s">
        <v>321</v>
      </c>
      <c r="AW106" s="398" t="s">
        <v>322</v>
      </c>
      <c r="AX106" s="398" t="s">
        <v>323</v>
      </c>
      <c r="AY106" s="398" t="s">
        <v>324</v>
      </c>
      <c r="AZ106" s="398" t="s">
        <v>325</v>
      </c>
      <c r="BA106" s="398" t="s">
        <v>326</v>
      </c>
      <c r="BB106" s="398" t="s">
        <v>327</v>
      </c>
      <c r="BC106" s="398" t="s">
        <v>328</v>
      </c>
      <c r="BD106" s="398" t="s">
        <v>329</v>
      </c>
      <c r="BE106" s="398" t="s">
        <v>330</v>
      </c>
      <c r="BF106" s="398" t="s">
        <v>122</v>
      </c>
      <c r="BG106" s="398" t="s">
        <v>331</v>
      </c>
      <c r="BH106" s="398" t="s">
        <v>332</v>
      </c>
      <c r="BI106" s="398" t="s">
        <v>333</v>
      </c>
      <c r="BJ106" s="398" t="s">
        <v>334</v>
      </c>
      <c r="BK106" s="398" t="s">
        <v>335</v>
      </c>
      <c r="BL106" s="398" t="s">
        <v>336</v>
      </c>
      <c r="BM106" s="398" t="s">
        <v>337</v>
      </c>
      <c r="BN106" s="398" t="s">
        <v>338</v>
      </c>
      <c r="BO106" s="398" t="s">
        <v>339</v>
      </c>
      <c r="BP106" s="398" t="s">
        <v>340</v>
      </c>
      <c r="BQ106" s="398" t="s">
        <v>341</v>
      </c>
      <c r="BR106" s="398" t="s">
        <v>342</v>
      </c>
      <c r="BS106" s="398" t="s">
        <v>123</v>
      </c>
      <c r="BT106" s="398" t="s">
        <v>343</v>
      </c>
      <c r="BU106" s="398" t="s">
        <v>344</v>
      </c>
      <c r="BV106" s="398" t="s">
        <v>345</v>
      </c>
      <c r="BW106" s="398" t="s">
        <v>346</v>
      </c>
      <c r="BX106" s="398" t="s">
        <v>347</v>
      </c>
      <c r="BY106" s="398" t="s">
        <v>348</v>
      </c>
      <c r="BZ106" s="398" t="s">
        <v>349</v>
      </c>
      <c r="CA106" s="398" t="s">
        <v>350</v>
      </c>
      <c r="CB106" s="398" t="s">
        <v>351</v>
      </c>
      <c r="CC106" s="398" t="s">
        <v>352</v>
      </c>
      <c r="CD106" s="398" t="s">
        <v>353</v>
      </c>
      <c r="CE106" s="398" t="s">
        <v>354</v>
      </c>
      <c r="CF106" s="398" t="s">
        <v>124</v>
      </c>
    </row>
    <row r="107" spans="1:84">
      <c r="A107" s="626" t="s">
        <v>784</v>
      </c>
      <c r="B107" s="399"/>
      <c r="C107" s="399"/>
      <c r="D107" s="399"/>
      <c r="E107" s="399"/>
      <c r="F107" s="399"/>
      <c r="G107" s="400">
        <f t="shared" ref="G107:S107" si="304">COUNTIF(G109:G127,"&gt;1")</f>
        <v>3</v>
      </c>
      <c r="H107" s="400">
        <f t="shared" si="304"/>
        <v>3</v>
      </c>
      <c r="I107" s="400">
        <f t="shared" si="304"/>
        <v>3</v>
      </c>
      <c r="J107" s="400">
        <f t="shared" si="304"/>
        <v>3</v>
      </c>
      <c r="K107" s="400">
        <f t="shared" si="304"/>
        <v>3</v>
      </c>
      <c r="L107" s="400">
        <f t="shared" si="304"/>
        <v>3</v>
      </c>
      <c r="M107" s="400">
        <f t="shared" si="304"/>
        <v>3</v>
      </c>
      <c r="N107" s="400">
        <f t="shared" si="304"/>
        <v>3</v>
      </c>
      <c r="O107" s="400">
        <f t="shared" si="304"/>
        <v>3</v>
      </c>
      <c r="P107" s="400">
        <f t="shared" si="304"/>
        <v>3</v>
      </c>
      <c r="Q107" s="400">
        <f t="shared" si="304"/>
        <v>3</v>
      </c>
      <c r="R107" s="400">
        <f t="shared" si="304"/>
        <v>3</v>
      </c>
      <c r="S107" s="401">
        <f t="shared" si="304"/>
        <v>3</v>
      </c>
      <c r="T107" s="400">
        <f>COUNTIF(T109:T125,"&gt;1")</f>
        <v>3</v>
      </c>
      <c r="U107" s="400">
        <f t="shared" ref="U107:CF107" si="305">COUNTIF(U109:U125,"&gt;1")</f>
        <v>8</v>
      </c>
      <c r="V107" s="400">
        <f t="shared" si="305"/>
        <v>7</v>
      </c>
      <c r="W107" s="400">
        <f t="shared" si="305"/>
        <v>8</v>
      </c>
      <c r="X107" s="400">
        <f t="shared" si="305"/>
        <v>8</v>
      </c>
      <c r="Y107" s="400">
        <f t="shared" si="305"/>
        <v>7</v>
      </c>
      <c r="Z107" s="400">
        <f t="shared" si="305"/>
        <v>8</v>
      </c>
      <c r="AA107" s="400">
        <f t="shared" si="305"/>
        <v>7</v>
      </c>
      <c r="AB107" s="400">
        <f t="shared" si="305"/>
        <v>6</v>
      </c>
      <c r="AC107" s="400">
        <f t="shared" si="305"/>
        <v>6</v>
      </c>
      <c r="AD107" s="400">
        <f t="shared" si="305"/>
        <v>6</v>
      </c>
      <c r="AE107" s="400">
        <f t="shared" si="305"/>
        <v>7</v>
      </c>
      <c r="AF107" s="402">
        <f t="shared" si="305"/>
        <v>11</v>
      </c>
      <c r="AG107" s="400">
        <f t="shared" si="305"/>
        <v>6</v>
      </c>
      <c r="AH107" s="400">
        <f t="shared" si="305"/>
        <v>6</v>
      </c>
      <c r="AI107" s="400">
        <f t="shared" si="305"/>
        <v>6</v>
      </c>
      <c r="AJ107" s="400">
        <f t="shared" si="305"/>
        <v>6</v>
      </c>
      <c r="AK107" s="400">
        <f t="shared" si="305"/>
        <v>6</v>
      </c>
      <c r="AL107" s="400">
        <f t="shared" si="305"/>
        <v>6</v>
      </c>
      <c r="AM107" s="400">
        <f t="shared" si="305"/>
        <v>2</v>
      </c>
      <c r="AN107" s="400">
        <f t="shared" si="305"/>
        <v>2</v>
      </c>
      <c r="AO107" s="400">
        <f t="shared" si="305"/>
        <v>2</v>
      </c>
      <c r="AP107" s="400">
        <f t="shared" si="305"/>
        <v>2</v>
      </c>
      <c r="AQ107" s="400">
        <f t="shared" si="305"/>
        <v>2</v>
      </c>
      <c r="AR107" s="400">
        <f t="shared" si="305"/>
        <v>2</v>
      </c>
      <c r="AS107" s="402">
        <f t="shared" si="305"/>
        <v>6</v>
      </c>
      <c r="AT107" s="400">
        <f t="shared" si="305"/>
        <v>2</v>
      </c>
      <c r="AU107" s="400">
        <f t="shared" si="305"/>
        <v>2</v>
      </c>
      <c r="AV107" s="400">
        <f t="shared" si="305"/>
        <v>2</v>
      </c>
      <c r="AW107" s="400">
        <f t="shared" si="305"/>
        <v>2</v>
      </c>
      <c r="AX107" s="400">
        <f t="shared" si="305"/>
        <v>2</v>
      </c>
      <c r="AY107" s="400">
        <f t="shared" si="305"/>
        <v>2</v>
      </c>
      <c r="AZ107" s="400">
        <f t="shared" si="305"/>
        <v>2</v>
      </c>
      <c r="BA107" s="400">
        <f t="shared" si="305"/>
        <v>2</v>
      </c>
      <c r="BB107" s="400">
        <f t="shared" si="305"/>
        <v>2</v>
      </c>
      <c r="BC107" s="400">
        <f t="shared" si="305"/>
        <v>2</v>
      </c>
      <c r="BD107" s="400">
        <f t="shared" si="305"/>
        <v>2</v>
      </c>
      <c r="BE107" s="400">
        <f t="shared" si="305"/>
        <v>2</v>
      </c>
      <c r="BF107" s="402">
        <f t="shared" si="305"/>
        <v>2</v>
      </c>
      <c r="BG107" s="400">
        <f t="shared" si="305"/>
        <v>2</v>
      </c>
      <c r="BH107" s="400">
        <f t="shared" si="305"/>
        <v>2</v>
      </c>
      <c r="BI107" s="400">
        <f t="shared" si="305"/>
        <v>2</v>
      </c>
      <c r="BJ107" s="400">
        <f t="shared" si="305"/>
        <v>2</v>
      </c>
      <c r="BK107" s="400">
        <f t="shared" si="305"/>
        <v>2</v>
      </c>
      <c r="BL107" s="400">
        <f t="shared" si="305"/>
        <v>2</v>
      </c>
      <c r="BM107" s="400">
        <f t="shared" si="305"/>
        <v>2</v>
      </c>
      <c r="BN107" s="400">
        <f t="shared" si="305"/>
        <v>2</v>
      </c>
      <c r="BO107" s="400">
        <f t="shared" si="305"/>
        <v>2</v>
      </c>
      <c r="BP107" s="400">
        <f t="shared" si="305"/>
        <v>2</v>
      </c>
      <c r="BQ107" s="400">
        <f t="shared" si="305"/>
        <v>2</v>
      </c>
      <c r="BR107" s="400">
        <f t="shared" si="305"/>
        <v>2</v>
      </c>
      <c r="BS107" s="402">
        <f t="shared" si="305"/>
        <v>2</v>
      </c>
      <c r="BT107" s="400">
        <f t="shared" si="305"/>
        <v>2</v>
      </c>
      <c r="BU107" s="400">
        <f t="shared" si="305"/>
        <v>2</v>
      </c>
      <c r="BV107" s="400">
        <f t="shared" si="305"/>
        <v>2</v>
      </c>
      <c r="BW107" s="400">
        <f t="shared" si="305"/>
        <v>2</v>
      </c>
      <c r="BX107" s="400">
        <f t="shared" si="305"/>
        <v>2</v>
      </c>
      <c r="BY107" s="400">
        <f t="shared" si="305"/>
        <v>2</v>
      </c>
      <c r="BZ107" s="400">
        <f t="shared" si="305"/>
        <v>2</v>
      </c>
      <c r="CA107" s="400">
        <f t="shared" si="305"/>
        <v>2</v>
      </c>
      <c r="CB107" s="400">
        <f t="shared" si="305"/>
        <v>2</v>
      </c>
      <c r="CC107" s="400">
        <f t="shared" si="305"/>
        <v>2</v>
      </c>
      <c r="CD107" s="400">
        <f t="shared" si="305"/>
        <v>2</v>
      </c>
      <c r="CE107" s="400">
        <f t="shared" si="305"/>
        <v>2</v>
      </c>
      <c r="CF107" s="402">
        <f t="shared" si="305"/>
        <v>2</v>
      </c>
    </row>
    <row r="108" spans="1:84" s="407" customFormat="1" ht="12.75" customHeight="1">
      <c r="A108" s="403"/>
      <c r="B108" s="403"/>
      <c r="C108" s="403" t="s">
        <v>286</v>
      </c>
      <c r="D108" s="403" t="s">
        <v>287</v>
      </c>
      <c r="E108" s="403" t="s">
        <v>581</v>
      </c>
      <c r="F108" s="403" t="s">
        <v>288</v>
      </c>
      <c r="G108" s="404"/>
      <c r="H108" s="40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5"/>
      <c r="U108" s="404"/>
      <c r="V108" s="404"/>
      <c r="W108" s="404"/>
      <c r="X108" s="404"/>
      <c r="Y108" s="404"/>
      <c r="Z108" s="404"/>
      <c r="AA108" s="404"/>
      <c r="AB108" s="404"/>
      <c r="AC108" s="404"/>
      <c r="AD108" s="404"/>
      <c r="AE108" s="404"/>
      <c r="AF108" s="406"/>
      <c r="AG108" s="405">
        <v>0.04</v>
      </c>
      <c r="AH108" s="404"/>
      <c r="AI108" s="404"/>
      <c r="AJ108" s="404"/>
      <c r="AK108" s="404"/>
      <c r="AL108" s="404"/>
      <c r="AM108" s="404"/>
      <c r="AN108" s="404"/>
      <c r="AO108" s="404"/>
      <c r="AP108" s="404"/>
      <c r="AQ108" s="404"/>
      <c r="AR108" s="404"/>
      <c r="AS108" s="406"/>
      <c r="AT108" s="405">
        <v>0.04</v>
      </c>
      <c r="AU108" s="404"/>
      <c r="AV108" s="404"/>
      <c r="AW108" s="404"/>
      <c r="AX108" s="404"/>
      <c r="AY108" s="404"/>
      <c r="AZ108" s="404"/>
      <c r="BA108" s="404"/>
      <c r="BB108" s="404"/>
      <c r="BC108" s="404"/>
      <c r="BD108" s="404"/>
      <c r="BE108" s="404"/>
      <c r="BF108" s="406"/>
      <c r="BG108" s="405">
        <v>0.04</v>
      </c>
      <c r="BH108" s="404"/>
      <c r="BI108" s="404"/>
      <c r="BJ108" s="404"/>
      <c r="BK108" s="404"/>
      <c r="BL108" s="404"/>
      <c r="BM108" s="404"/>
      <c r="BN108" s="404"/>
      <c r="BO108" s="404"/>
      <c r="BP108" s="404"/>
      <c r="BQ108" s="404"/>
      <c r="BR108" s="404"/>
      <c r="BS108" s="406"/>
      <c r="BT108" s="405">
        <v>0.04</v>
      </c>
      <c r="BU108" s="404"/>
      <c r="BV108" s="404"/>
      <c r="BW108" s="404"/>
      <c r="BX108" s="404"/>
      <c r="BY108" s="404"/>
      <c r="BZ108" s="404"/>
      <c r="CA108" s="404"/>
      <c r="CB108" s="404"/>
      <c r="CC108" s="404"/>
      <c r="CD108" s="404"/>
      <c r="CE108" s="404"/>
      <c r="CF108" s="406"/>
    </row>
    <row r="109" spans="1:84">
      <c r="A109" s="408" t="s">
        <v>599</v>
      </c>
      <c r="B109" s="412"/>
      <c r="C109" s="412"/>
      <c r="D109" s="413"/>
      <c r="E109" s="413"/>
      <c r="F109" s="414"/>
      <c r="G109" s="415"/>
      <c r="H109" s="415"/>
      <c r="I109" s="41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6"/>
      <c r="T109" s="415"/>
      <c r="U109" s="415"/>
      <c r="V109" s="415"/>
      <c r="W109" s="415"/>
      <c r="X109" s="415"/>
      <c r="Y109" s="415"/>
      <c r="Z109" s="415"/>
      <c r="AA109" s="415"/>
      <c r="AB109" s="415"/>
      <c r="AC109" s="415"/>
      <c r="AD109" s="415"/>
      <c r="AE109" s="415"/>
      <c r="AF109" s="416"/>
      <c r="AG109" s="415"/>
      <c r="AH109" s="415"/>
      <c r="AI109" s="415"/>
      <c r="AJ109" s="415"/>
      <c r="AK109" s="415"/>
      <c r="AL109" s="415"/>
      <c r="AM109" s="415"/>
      <c r="AN109" s="415"/>
      <c r="AO109" s="415"/>
      <c r="AP109" s="415"/>
      <c r="AQ109" s="415"/>
      <c r="AR109" s="415"/>
      <c r="AS109" s="416"/>
      <c r="AT109" s="415"/>
      <c r="AU109" s="415"/>
      <c r="AV109" s="415"/>
      <c r="AW109" s="415"/>
      <c r="AX109" s="415"/>
      <c r="AY109" s="415"/>
      <c r="AZ109" s="415"/>
      <c r="BA109" s="415"/>
      <c r="BB109" s="415"/>
      <c r="BC109" s="415"/>
      <c r="BD109" s="415"/>
      <c r="BE109" s="415"/>
      <c r="BF109" s="416"/>
      <c r="BG109" s="415"/>
      <c r="BH109" s="415"/>
      <c r="BI109" s="415"/>
      <c r="BJ109" s="415"/>
      <c r="BK109" s="415"/>
      <c r="BL109" s="415"/>
      <c r="BM109" s="415"/>
      <c r="BN109" s="415"/>
      <c r="BO109" s="415"/>
      <c r="BP109" s="415"/>
      <c r="BQ109" s="415"/>
      <c r="BR109" s="415"/>
      <c r="BS109" s="416"/>
      <c r="BT109" s="415"/>
      <c r="BU109" s="415"/>
      <c r="BV109" s="415"/>
      <c r="BW109" s="415"/>
      <c r="BX109" s="415"/>
      <c r="BY109" s="415"/>
      <c r="BZ109" s="415"/>
      <c r="CA109" s="415"/>
      <c r="CB109" s="415"/>
      <c r="CC109" s="415"/>
      <c r="CD109" s="415"/>
      <c r="CE109" s="415"/>
      <c r="CF109" s="416"/>
    </row>
    <row r="110" spans="1:84">
      <c r="A110" s="399"/>
      <c r="B110" s="479" t="s">
        <v>906</v>
      </c>
      <c r="C110" s="479" t="s">
        <v>908</v>
      </c>
      <c r="D110" s="413">
        <v>130000</v>
      </c>
      <c r="E110" s="413"/>
      <c r="F110" s="414" t="s">
        <v>50</v>
      </c>
      <c r="G110" s="415"/>
      <c r="H110" s="415"/>
      <c r="I110" s="415"/>
      <c r="J110" s="415"/>
      <c r="K110" s="415"/>
      <c r="L110" s="415"/>
      <c r="M110" s="415"/>
      <c r="N110" s="415"/>
      <c r="O110" s="415"/>
      <c r="P110" s="415"/>
      <c r="Q110" s="415"/>
      <c r="R110" s="415"/>
      <c r="S110" s="416"/>
      <c r="T110" s="415">
        <f t="shared" ref="T110:T111" si="306">IF($F110=T$6,(($D110+$E110)*(1+$T$8))/12,R110*(1+T$8))</f>
        <v>0</v>
      </c>
      <c r="U110" s="415">
        <f t="shared" ref="U110:U111" si="307">IF($F110=U$6,(($D110+$E110)/12),T110)</f>
        <v>10833.333333333334</v>
      </c>
      <c r="V110" s="415">
        <f t="shared" ref="V110" si="308">IF($F110=V$6,(($D110+$E110)/12),U110)</f>
        <v>10833.333333333334</v>
      </c>
      <c r="W110" s="415">
        <f t="shared" ref="W110" si="309">IF($F110=W$6,(($D110+$E110)/12),V110)</f>
        <v>10833.333333333334</v>
      </c>
      <c r="X110" s="415">
        <f t="shared" ref="X110:X111" si="310">IF($F110=X$6,(($D110+$E110)/12),W110)</f>
        <v>10833.333333333334</v>
      </c>
      <c r="Y110" s="415">
        <f t="shared" ref="Y110:Y111" si="311">IF($F110=Y$6,(($D110+$E110)/12),X110)</f>
        <v>10833.333333333334</v>
      </c>
      <c r="Z110" s="415">
        <f t="shared" ref="Z110:Z111" si="312">IF($F110=Z$6,(($D110+$E110)/12),Y110)</f>
        <v>10833.333333333334</v>
      </c>
      <c r="AA110" s="415">
        <f t="shared" ref="AA110:AA111" si="313">IF($F110=AA$6,(($D110+$E110)/12),Z110)</f>
        <v>10833.333333333334</v>
      </c>
      <c r="AB110" s="415">
        <f t="shared" ref="AB110:AB111" si="314">IF($F110=AB$6,(($D110+$E110)/12),AA110)</f>
        <v>10833.333333333334</v>
      </c>
      <c r="AC110" s="415">
        <f t="shared" ref="AC110:AC111" si="315">IF($F110=AC$6,(($D110+$E110)/12),AB110)</f>
        <v>10833.333333333334</v>
      </c>
      <c r="AD110" s="415">
        <f t="shared" ref="AD110:AD111" si="316">IF($F110=AD$6,(($D110+$E110)/12),AC110)</f>
        <v>10833.333333333334</v>
      </c>
      <c r="AE110" s="415">
        <f t="shared" ref="AE110:AE111" si="317">IF($F110=AE$6,(($D110+$E110)/12),AD110)</f>
        <v>10833.333333333334</v>
      </c>
      <c r="AF110" s="416">
        <f t="shared" ref="AF110:AF111" si="318">SUM(T110:AE110)</f>
        <v>119166.66666666666</v>
      </c>
      <c r="AG110" s="415">
        <f t="shared" ref="AG110" si="319">IF($F110=AG$6,($D110+$E110)/12,AE110*(1+AG$8))</f>
        <v>11266.666666666668</v>
      </c>
      <c r="AH110" s="415">
        <f t="shared" ref="AH110:AH111" si="320">IF($F110=AH$6,(($D110+$E110)/12),AG110)</f>
        <v>11266.666666666668</v>
      </c>
      <c r="AI110" s="415">
        <f t="shared" ref="AI110:AI111" si="321">IF($F110=AI$6,(($D110+$E110)/12),AH110)</f>
        <v>11266.666666666668</v>
      </c>
      <c r="AJ110" s="415">
        <f t="shared" ref="AJ110:AJ111" si="322">IF($F110=AJ$6,(($D110+$E110)/12),AI110)</f>
        <v>11266.666666666668</v>
      </c>
      <c r="AK110" s="415">
        <f t="shared" ref="AK110:AK111" si="323">IF($F110=AK$6,(($D110+$E110)/12),AJ110)</f>
        <v>11266.666666666668</v>
      </c>
      <c r="AL110" s="415">
        <f>AK110</f>
        <v>11266.666666666668</v>
      </c>
      <c r="AM110" s="415">
        <v>0</v>
      </c>
      <c r="AN110" s="415">
        <f t="shared" ref="AN110:AO111" si="324">IF($F110=AN$6,(($D110+$E110)/12),AM110)</f>
        <v>0</v>
      </c>
      <c r="AO110" s="415">
        <f t="shared" si="324"/>
        <v>0</v>
      </c>
      <c r="AP110" s="415">
        <f t="shared" ref="AP110:AP111" si="325">IF($F110=AP$6,(($D110+$E110)/12),AO110)</f>
        <v>0</v>
      </c>
      <c r="AQ110" s="415">
        <f t="shared" ref="AQ110:AQ111" si="326">IF($F110=AQ$6,(($D110+$E110)/12),AP110)</f>
        <v>0</v>
      </c>
      <c r="AR110" s="415">
        <f t="shared" ref="AR110:AR111" si="327">IF($F110=AR$6,(($D110+$E110)/12),AQ110)</f>
        <v>0</v>
      </c>
      <c r="AS110" s="416">
        <f t="shared" ref="AS110:AS111" si="328">SUM(AG110:AR110)</f>
        <v>67600.000000000015</v>
      </c>
      <c r="AT110" s="415">
        <f t="shared" ref="AT110:AT111" si="329">IF($F110=AT$6,($D110+$E110)/12,AR110*(1+AT$8))</f>
        <v>0</v>
      </c>
      <c r="AU110" s="415">
        <f t="shared" ref="AU110:AU111" si="330">IF($F110=AU$6,(($D110+$E110)/12),AT110)</f>
        <v>0</v>
      </c>
      <c r="AV110" s="415">
        <f t="shared" ref="AV110:AV111" si="331">IF($F110=AV$6,(($D110+$E110)/12),AU110)</f>
        <v>0</v>
      </c>
      <c r="AW110" s="415">
        <f t="shared" ref="AW110:AW111" si="332">IF($F110=AW$6,(($D110+$E110)/12),AV110)</f>
        <v>0</v>
      </c>
      <c r="AX110" s="415">
        <f t="shared" ref="AX110:AX111" si="333">IF($F110=AX$6,(($D110+$E110)/12),AW110)</f>
        <v>0</v>
      </c>
      <c r="AY110" s="415">
        <f t="shared" ref="AY110:AY111" si="334">IF($F110=AY$6,(($D110+$E110)/12),AX110)</f>
        <v>0</v>
      </c>
      <c r="AZ110" s="415">
        <f t="shared" ref="AZ110:AZ111" si="335">IF($F110=AZ$6,(($D110+$E110)/12),AY110)</f>
        <v>0</v>
      </c>
      <c r="BA110" s="415">
        <f t="shared" ref="BA110:BA111" si="336">IF($F110=BA$6,(($D110+$E110)/12),AZ110)</f>
        <v>0</v>
      </c>
      <c r="BB110" s="415">
        <f t="shared" ref="BB110:BB111" si="337">IF($F110=BB$6,(($D110+$E110)/12),BA110)</f>
        <v>0</v>
      </c>
      <c r="BC110" s="415">
        <f t="shared" ref="BC110:BC111" si="338">IF($F110=BC$6,(($D110+$E110)/12),BB110)</f>
        <v>0</v>
      </c>
      <c r="BD110" s="415">
        <f t="shared" ref="BD110:BD111" si="339">IF($F110=BD$6,(($D110+$E110)/12),BC110)</f>
        <v>0</v>
      </c>
      <c r="BE110" s="415">
        <f t="shared" ref="BE110:BE111" si="340">IF($F110=BE$6,(($D110+$E110)/12),BD110)</f>
        <v>0</v>
      </c>
      <c r="BF110" s="416">
        <f t="shared" ref="BF110:BF111" si="341">SUM(AT110:BE110)</f>
        <v>0</v>
      </c>
      <c r="BG110" s="415">
        <f t="shared" ref="BG110:BG111" si="342">IF($F110=BG$6,($D110+$E110)/12,BE110*(1+BG$8))</f>
        <v>0</v>
      </c>
      <c r="BH110" s="415">
        <f t="shared" ref="BH110:BH111" si="343">IF($F110=BH$6,(($D110+$E110)/12),BG110)</f>
        <v>0</v>
      </c>
      <c r="BI110" s="415">
        <f t="shared" ref="BI110:BI111" si="344">IF($F110=BI$6,(($D110+$E110)/12),BH110)</f>
        <v>0</v>
      </c>
      <c r="BJ110" s="415">
        <f t="shared" ref="BJ110:BJ111" si="345">IF($F110=BJ$6,(($D110+$E110)/12),BI110)</f>
        <v>0</v>
      </c>
      <c r="BK110" s="415">
        <f t="shared" ref="BK110:BK111" si="346">IF($F110=BK$6,(($D110+$E110)/12),BJ110)</f>
        <v>0</v>
      </c>
      <c r="BL110" s="415">
        <f t="shared" ref="BL110:BL111" si="347">IF($F110=BL$6,(($D110+$E110)/12),BK110)</f>
        <v>0</v>
      </c>
      <c r="BM110" s="415">
        <f t="shared" ref="BM110:BM111" si="348">IF($F110=BM$6,(($D110+$E110)/12),BL110)</f>
        <v>0</v>
      </c>
      <c r="BN110" s="415">
        <f t="shared" ref="BN110:BN111" si="349">IF($F110=BN$6,(($D110+$E110)/12),BM110)</f>
        <v>0</v>
      </c>
      <c r="BO110" s="415">
        <f t="shared" ref="BO110:BO111" si="350">IF($F110=BO$6,(($D110+$E110)/12),BN110)</f>
        <v>0</v>
      </c>
      <c r="BP110" s="415">
        <f t="shared" ref="BP110:BP111" si="351">IF($F110=BP$6,(($D110+$E110)/12),BO110)</f>
        <v>0</v>
      </c>
      <c r="BQ110" s="415">
        <f t="shared" ref="BQ110:BQ111" si="352">IF($F110=BQ$6,(($D110+$E110)/12),BP110)</f>
        <v>0</v>
      </c>
      <c r="BR110" s="415">
        <f t="shared" ref="BR110:BR111" si="353">IF($F110=BR$6,(($D110+$E110)/12),BQ110)</f>
        <v>0</v>
      </c>
      <c r="BS110" s="416">
        <f t="shared" ref="BS110:BS111" si="354">SUM(BG110:BR110)</f>
        <v>0</v>
      </c>
      <c r="BT110" s="415">
        <f t="shared" ref="BT110:BT111" si="355">IF($F110=BT$6,($D110+$E110)/12,BR110*(1+BT$8))</f>
        <v>0</v>
      </c>
      <c r="BU110" s="415">
        <f t="shared" ref="BU110:BU111" si="356">IF($F110=BU$6,(($D110+$E110)/12),BT110)</f>
        <v>0</v>
      </c>
      <c r="BV110" s="415">
        <f t="shared" ref="BV110:BV111" si="357">IF($F110=BV$6,(($D110+$E110)/12),BU110)</f>
        <v>0</v>
      </c>
      <c r="BW110" s="415">
        <f t="shared" ref="BW110:BW111" si="358">IF($F110=BW$6,(($D110+$E110)/12),BV110)</f>
        <v>0</v>
      </c>
      <c r="BX110" s="415">
        <f t="shared" ref="BX110:BX111" si="359">IF($F110=BX$6,(($D110+$E110)/12),BW110)</f>
        <v>0</v>
      </c>
      <c r="BY110" s="415">
        <f t="shared" ref="BY110:BY111" si="360">IF($F110=BY$6,(($D110+$E110)/12),BX110)</f>
        <v>0</v>
      </c>
      <c r="BZ110" s="415">
        <f t="shared" ref="BZ110:BZ111" si="361">IF($F110=BZ$6,(($D110+$E110)/12),BY110)</f>
        <v>0</v>
      </c>
      <c r="CA110" s="415">
        <f t="shared" ref="CA110:CA111" si="362">IF($F110=CA$6,(($D110+$E110)/12),BZ110)</f>
        <v>0</v>
      </c>
      <c r="CB110" s="415">
        <f t="shared" ref="CB110:CB111" si="363">IF($F110=CB$6,(($D110+$E110)/12),CA110)</f>
        <v>0</v>
      </c>
      <c r="CC110" s="415">
        <f t="shared" ref="CC110:CC111" si="364">IF($F110=CC$6,(($D110+$E110)/12),CB110)</f>
        <v>0</v>
      </c>
      <c r="CD110" s="415">
        <f t="shared" ref="CD110:CD111" si="365">IF($F110=CD$6,(($D110+$E110)/12),CC110)</f>
        <v>0</v>
      </c>
      <c r="CE110" s="415">
        <f t="shared" ref="CE110:CE111" si="366">IF($F110=CE$6,(($D110+$E110)/12),CD110)</f>
        <v>0</v>
      </c>
      <c r="CF110" s="416">
        <f t="shared" ref="CF110:CF111" si="367">SUM(BT110:CE110)</f>
        <v>0</v>
      </c>
    </row>
    <row r="111" spans="1:84">
      <c r="A111" s="399"/>
      <c r="B111" s="479" t="s">
        <v>907</v>
      </c>
      <c r="C111" s="479" t="s">
        <v>909</v>
      </c>
      <c r="D111" s="413">
        <v>60000</v>
      </c>
      <c r="E111" s="413"/>
      <c r="F111" s="414" t="s">
        <v>50</v>
      </c>
      <c r="G111" s="415"/>
      <c r="H111" s="415"/>
      <c r="I111" s="415"/>
      <c r="J111" s="415"/>
      <c r="K111" s="415"/>
      <c r="L111" s="415"/>
      <c r="M111" s="415"/>
      <c r="N111" s="415"/>
      <c r="O111" s="415"/>
      <c r="P111" s="415"/>
      <c r="Q111" s="415"/>
      <c r="R111" s="415"/>
      <c r="S111" s="416"/>
      <c r="T111" s="415">
        <f t="shared" si="306"/>
        <v>0</v>
      </c>
      <c r="U111" s="415">
        <f t="shared" si="307"/>
        <v>5000</v>
      </c>
      <c r="V111" s="415">
        <v>1600</v>
      </c>
      <c r="W111" s="415">
        <v>0</v>
      </c>
      <c r="X111" s="415">
        <f t="shared" si="310"/>
        <v>0</v>
      </c>
      <c r="Y111" s="415">
        <f t="shared" si="311"/>
        <v>0</v>
      </c>
      <c r="Z111" s="415">
        <f t="shared" si="312"/>
        <v>0</v>
      </c>
      <c r="AA111" s="415">
        <f t="shared" si="313"/>
        <v>0</v>
      </c>
      <c r="AB111" s="415">
        <f t="shared" si="314"/>
        <v>0</v>
      </c>
      <c r="AC111" s="415">
        <f t="shared" si="315"/>
        <v>0</v>
      </c>
      <c r="AD111" s="415">
        <f t="shared" si="316"/>
        <v>0</v>
      </c>
      <c r="AE111" s="415">
        <f t="shared" si="317"/>
        <v>0</v>
      </c>
      <c r="AF111" s="416">
        <f t="shared" si="318"/>
        <v>6600</v>
      </c>
      <c r="AG111" s="415">
        <v>0</v>
      </c>
      <c r="AH111" s="415">
        <f t="shared" si="320"/>
        <v>0</v>
      </c>
      <c r="AI111" s="415">
        <f t="shared" si="321"/>
        <v>0</v>
      </c>
      <c r="AJ111" s="415">
        <f t="shared" si="322"/>
        <v>0</v>
      </c>
      <c r="AK111" s="415">
        <f t="shared" si="323"/>
        <v>0</v>
      </c>
      <c r="AL111" s="415">
        <f t="shared" ref="AL111" si="368">IF($F111=AL$6,(($D111+$E111)/12),AK111)</f>
        <v>0</v>
      </c>
      <c r="AM111" s="415">
        <f t="shared" ref="AM111" si="369">IF($F111=AM$6,(($D111+$E111)/12),AL111)</f>
        <v>0</v>
      </c>
      <c r="AN111" s="415">
        <f t="shared" ref="AN111" si="370">IF($F111=AN$6,(($D111+$E111)/12),AM111)</f>
        <v>0</v>
      </c>
      <c r="AO111" s="415">
        <f t="shared" si="324"/>
        <v>0</v>
      </c>
      <c r="AP111" s="415">
        <f t="shared" si="325"/>
        <v>0</v>
      </c>
      <c r="AQ111" s="415">
        <f t="shared" si="326"/>
        <v>0</v>
      </c>
      <c r="AR111" s="415">
        <f t="shared" si="327"/>
        <v>0</v>
      </c>
      <c r="AS111" s="416">
        <f t="shared" si="328"/>
        <v>0</v>
      </c>
      <c r="AT111" s="415">
        <f t="shared" si="329"/>
        <v>0</v>
      </c>
      <c r="AU111" s="415">
        <f t="shared" si="330"/>
        <v>0</v>
      </c>
      <c r="AV111" s="415">
        <f t="shared" si="331"/>
        <v>0</v>
      </c>
      <c r="AW111" s="415">
        <f t="shared" si="332"/>
        <v>0</v>
      </c>
      <c r="AX111" s="415">
        <f t="shared" si="333"/>
        <v>0</v>
      </c>
      <c r="AY111" s="415">
        <f t="shared" si="334"/>
        <v>0</v>
      </c>
      <c r="AZ111" s="415">
        <f t="shared" si="335"/>
        <v>0</v>
      </c>
      <c r="BA111" s="415">
        <f t="shared" si="336"/>
        <v>0</v>
      </c>
      <c r="BB111" s="415">
        <f t="shared" si="337"/>
        <v>0</v>
      </c>
      <c r="BC111" s="415">
        <f t="shared" si="338"/>
        <v>0</v>
      </c>
      <c r="BD111" s="415">
        <f t="shared" si="339"/>
        <v>0</v>
      </c>
      <c r="BE111" s="415">
        <f t="shared" si="340"/>
        <v>0</v>
      </c>
      <c r="BF111" s="416">
        <f t="shared" si="341"/>
        <v>0</v>
      </c>
      <c r="BG111" s="415">
        <f t="shared" si="342"/>
        <v>0</v>
      </c>
      <c r="BH111" s="415">
        <f t="shared" si="343"/>
        <v>0</v>
      </c>
      <c r="BI111" s="415">
        <f t="shared" si="344"/>
        <v>0</v>
      </c>
      <c r="BJ111" s="415">
        <f t="shared" si="345"/>
        <v>0</v>
      </c>
      <c r="BK111" s="415">
        <f t="shared" si="346"/>
        <v>0</v>
      </c>
      <c r="BL111" s="415">
        <f t="shared" si="347"/>
        <v>0</v>
      </c>
      <c r="BM111" s="415">
        <f t="shared" si="348"/>
        <v>0</v>
      </c>
      <c r="BN111" s="415">
        <f t="shared" si="349"/>
        <v>0</v>
      </c>
      <c r="BO111" s="415">
        <f t="shared" si="350"/>
        <v>0</v>
      </c>
      <c r="BP111" s="415">
        <f t="shared" si="351"/>
        <v>0</v>
      </c>
      <c r="BQ111" s="415">
        <f t="shared" si="352"/>
        <v>0</v>
      </c>
      <c r="BR111" s="415">
        <f t="shared" si="353"/>
        <v>0</v>
      </c>
      <c r="BS111" s="416">
        <f t="shared" si="354"/>
        <v>0</v>
      </c>
      <c r="BT111" s="415">
        <f t="shared" si="355"/>
        <v>0</v>
      </c>
      <c r="BU111" s="415">
        <f t="shared" si="356"/>
        <v>0</v>
      </c>
      <c r="BV111" s="415">
        <f t="shared" si="357"/>
        <v>0</v>
      </c>
      <c r="BW111" s="415">
        <f t="shared" si="358"/>
        <v>0</v>
      </c>
      <c r="BX111" s="415">
        <f t="shared" si="359"/>
        <v>0</v>
      </c>
      <c r="BY111" s="415">
        <f t="shared" si="360"/>
        <v>0</v>
      </c>
      <c r="BZ111" s="415">
        <f t="shared" si="361"/>
        <v>0</v>
      </c>
      <c r="CA111" s="415">
        <f t="shared" si="362"/>
        <v>0</v>
      </c>
      <c r="CB111" s="415">
        <f t="shared" si="363"/>
        <v>0</v>
      </c>
      <c r="CC111" s="415">
        <f t="shared" si="364"/>
        <v>0</v>
      </c>
      <c r="CD111" s="415">
        <f t="shared" si="365"/>
        <v>0</v>
      </c>
      <c r="CE111" s="415">
        <f t="shared" si="366"/>
        <v>0</v>
      </c>
      <c r="CF111" s="416">
        <f t="shared" si="367"/>
        <v>0</v>
      </c>
    </row>
    <row r="112" spans="1:84">
      <c r="A112" s="408" t="s">
        <v>609</v>
      </c>
      <c r="B112" s="408"/>
      <c r="C112" s="417"/>
      <c r="D112" s="418"/>
      <c r="E112" s="418"/>
      <c r="F112" s="414"/>
      <c r="G112" s="421"/>
      <c r="H112" s="421"/>
      <c r="I112" s="421"/>
      <c r="J112" s="421"/>
      <c r="K112" s="421"/>
      <c r="L112" s="421"/>
      <c r="M112" s="421"/>
      <c r="N112" s="421"/>
      <c r="O112" s="421"/>
      <c r="P112" s="421"/>
      <c r="Q112" s="421"/>
      <c r="R112" s="421"/>
      <c r="S112" s="422"/>
      <c r="T112" s="421"/>
      <c r="U112" s="421"/>
      <c r="V112" s="421"/>
      <c r="W112" s="421"/>
      <c r="X112" s="421"/>
      <c r="Y112" s="421"/>
      <c r="Z112" s="421"/>
      <c r="AA112" s="421"/>
      <c r="AB112" s="421"/>
      <c r="AC112" s="421"/>
      <c r="AD112" s="421"/>
      <c r="AE112" s="421"/>
      <c r="AF112" s="422"/>
      <c r="AG112" s="421"/>
      <c r="AH112" s="421"/>
      <c r="AI112" s="421"/>
      <c r="AJ112" s="421"/>
      <c r="AK112" s="421"/>
      <c r="AL112" s="421"/>
      <c r="AM112" s="421"/>
      <c r="AN112" s="421"/>
      <c r="AO112" s="421"/>
      <c r="AP112" s="421"/>
      <c r="AQ112" s="421"/>
      <c r="AR112" s="421"/>
      <c r="AS112" s="422"/>
      <c r="AT112" s="421"/>
      <c r="AU112" s="421"/>
      <c r="AV112" s="421"/>
      <c r="AW112" s="421"/>
      <c r="AX112" s="421"/>
      <c r="AY112" s="421"/>
      <c r="AZ112" s="421"/>
      <c r="BA112" s="421"/>
      <c r="BB112" s="421"/>
      <c r="BC112" s="421"/>
      <c r="BD112" s="421"/>
      <c r="BE112" s="421"/>
      <c r="BF112" s="422"/>
      <c r="BG112" s="421"/>
      <c r="BH112" s="421"/>
      <c r="BI112" s="421"/>
      <c r="BJ112" s="421"/>
      <c r="BK112" s="421"/>
      <c r="BL112" s="421"/>
      <c r="BM112" s="421"/>
      <c r="BN112" s="421"/>
      <c r="BO112" s="421"/>
      <c r="BP112" s="421"/>
      <c r="BQ112" s="421"/>
      <c r="BR112" s="421"/>
      <c r="BS112" s="422"/>
      <c r="BT112" s="421"/>
      <c r="BU112" s="421"/>
      <c r="BV112" s="421"/>
      <c r="BW112" s="421"/>
      <c r="BX112" s="421"/>
      <c r="BY112" s="421"/>
      <c r="BZ112" s="421"/>
      <c r="CA112" s="421"/>
      <c r="CB112" s="421"/>
      <c r="CC112" s="421"/>
      <c r="CD112" s="421"/>
      <c r="CE112" s="421"/>
      <c r="CF112" s="422"/>
    </row>
    <row r="113" spans="1:84">
      <c r="A113" s="399"/>
      <c r="B113" s="479" t="s">
        <v>901</v>
      </c>
      <c r="C113" s="479" t="s">
        <v>900</v>
      </c>
      <c r="D113" s="413">
        <v>120000</v>
      </c>
      <c r="E113" s="413"/>
      <c r="F113" s="414" t="s">
        <v>49</v>
      </c>
      <c r="G113" s="415"/>
      <c r="H113" s="415"/>
      <c r="I113" s="415"/>
      <c r="J113" s="415"/>
      <c r="K113" s="415"/>
      <c r="L113" s="415"/>
      <c r="M113" s="415"/>
      <c r="N113" s="415"/>
      <c r="O113" s="415"/>
      <c r="P113" s="415"/>
      <c r="Q113" s="415"/>
      <c r="R113" s="415"/>
      <c r="S113" s="416"/>
      <c r="T113" s="415">
        <f t="shared" ref="T113" si="371">IF($F113=T$6,(($D113+$E113)*(1+$T$8))/12,R113*(1+T$8))</f>
        <v>10000</v>
      </c>
      <c r="U113" s="415">
        <f t="shared" ref="U113" si="372">IF($F113=U$6,(($D113+$E113)/12),T113)</f>
        <v>10000</v>
      </c>
      <c r="V113" s="415">
        <f t="shared" ref="V113" si="373">IF($F113=V$6,(($D113+$E113)/12),U113)</f>
        <v>10000</v>
      </c>
      <c r="W113" s="415">
        <f t="shared" ref="W113" si="374">IF($F113=W$6,(($D113+$E113)/12),V113)</f>
        <v>10000</v>
      </c>
      <c r="X113" s="415">
        <f t="shared" ref="X113" si="375">IF($F113=X$6,(($D113+$E113)/12),W113)</f>
        <v>10000</v>
      </c>
      <c r="Y113" s="415">
        <f t="shared" ref="Y113" si="376">IF($F113=Y$6,(($D113+$E113)/12),X113)</f>
        <v>10000</v>
      </c>
      <c r="Z113" s="415">
        <f t="shared" ref="Z113" si="377">IF($F113=Z$6,(($D113+$E113)/12),Y113)</f>
        <v>10000</v>
      </c>
      <c r="AA113" s="415">
        <f t="shared" ref="AA113" si="378">IF($F113=AA$6,(($D113+$E113)/12),Z113)</f>
        <v>10000</v>
      </c>
      <c r="AB113" s="415">
        <f t="shared" ref="AB113" si="379">IF($F113=AB$6,(($D113+$E113)/12),AA113)</f>
        <v>10000</v>
      </c>
      <c r="AC113" s="415">
        <f t="shared" ref="AC113" si="380">IF($F113=AC$6,(($D113+$E113)/12),AB113)</f>
        <v>10000</v>
      </c>
      <c r="AD113" s="415">
        <f t="shared" ref="AD113" si="381">IF($F113=AD$6,(($D113+$E113)/12),AC113)</f>
        <v>10000</v>
      </c>
      <c r="AE113" s="415">
        <f t="shared" ref="AE113" si="382">IF($F113=AE$6,(($D113+$E113)/12),AD113)</f>
        <v>10000</v>
      </c>
      <c r="AF113" s="416">
        <f t="shared" ref="AF113" si="383">SUM(T113:AE113)</f>
        <v>120000</v>
      </c>
      <c r="AG113" s="415">
        <f>AE113</f>
        <v>10000</v>
      </c>
      <c r="AH113" s="415">
        <f t="shared" ref="AH113" si="384">IF($F113=AH$6,(($D113+$E113)/12),AG113)</f>
        <v>10000</v>
      </c>
      <c r="AI113" s="415">
        <f t="shared" ref="AI113" si="385">IF($F113=AI$6,(($D113+$E113)/12),AH113)</f>
        <v>10000</v>
      </c>
      <c r="AJ113" s="415">
        <f t="shared" ref="AJ113" si="386">IF($F113=AJ$6,(($D113+$E113)/12),AI113)</f>
        <v>10000</v>
      </c>
      <c r="AK113" s="415">
        <f t="shared" ref="AK113" si="387">IF($F113=AK$6,(($D113+$E113)/12),AJ113)</f>
        <v>10000</v>
      </c>
      <c r="AL113" s="415">
        <f t="shared" ref="AL113" si="388">IF($F113=AL$6,(($D113+$E113)/12),AK113)</f>
        <v>10000</v>
      </c>
      <c r="AM113" s="415">
        <v>0</v>
      </c>
      <c r="AN113" s="415">
        <f t="shared" ref="AN113:AO113" si="389">IF($F113=AN$6,(($D113+$E113)/12),AM113)</f>
        <v>0</v>
      </c>
      <c r="AO113" s="415">
        <f t="shared" si="389"/>
        <v>0</v>
      </c>
      <c r="AP113" s="415">
        <f t="shared" ref="AP113" si="390">IF($F113=AP$6,(($D113+$E113)/12),AO113)</f>
        <v>0</v>
      </c>
      <c r="AQ113" s="415">
        <f t="shared" ref="AQ113" si="391">IF($F113=AQ$6,(($D113+$E113)/12),AP113)</f>
        <v>0</v>
      </c>
      <c r="AR113" s="415">
        <f t="shared" ref="AR113" si="392">IF($F113=AR$6,(($D113+$E113)/12),AQ113)</f>
        <v>0</v>
      </c>
      <c r="AS113" s="416">
        <f t="shared" ref="AS113" si="393">SUM(AG113:AR113)</f>
        <v>60000</v>
      </c>
      <c r="AT113" s="415">
        <f t="shared" ref="AT113" si="394">IF($F113=AT$6,($D113+$E113)/12,AR113*(1+AT$8))</f>
        <v>0</v>
      </c>
      <c r="AU113" s="415">
        <f t="shared" ref="AU113" si="395">IF($F113=AU$6,(($D113+$E113)/12),AT113)</f>
        <v>0</v>
      </c>
      <c r="AV113" s="415">
        <f t="shared" ref="AV113" si="396">IF($F113=AV$6,(($D113+$E113)/12),AU113)</f>
        <v>0</v>
      </c>
      <c r="AW113" s="415">
        <f t="shared" ref="AW113" si="397">IF($F113=AW$6,(($D113+$E113)/12),AV113)</f>
        <v>0</v>
      </c>
      <c r="AX113" s="415">
        <f t="shared" ref="AX113" si="398">IF($F113=AX$6,(($D113+$E113)/12),AW113)</f>
        <v>0</v>
      </c>
      <c r="AY113" s="415">
        <f t="shared" ref="AY113" si="399">IF($F113=AY$6,(($D113+$E113)/12),AX113)</f>
        <v>0</v>
      </c>
      <c r="AZ113" s="415">
        <f t="shared" ref="AZ113" si="400">IF($F113=AZ$6,(($D113+$E113)/12),AY113)</f>
        <v>0</v>
      </c>
      <c r="BA113" s="415">
        <f t="shared" ref="BA113" si="401">IF($F113=BA$6,(($D113+$E113)/12),AZ113)</f>
        <v>0</v>
      </c>
      <c r="BB113" s="415">
        <f t="shared" ref="BB113" si="402">IF($F113=BB$6,(($D113+$E113)/12),BA113)</f>
        <v>0</v>
      </c>
      <c r="BC113" s="415">
        <f t="shared" ref="BC113" si="403">IF($F113=BC$6,(($D113+$E113)/12),BB113)</f>
        <v>0</v>
      </c>
      <c r="BD113" s="415">
        <f t="shared" ref="BD113" si="404">IF($F113=BD$6,(($D113+$E113)/12),BC113)</f>
        <v>0</v>
      </c>
      <c r="BE113" s="415">
        <f t="shared" ref="BE113" si="405">IF($F113=BE$6,(($D113+$E113)/12),BD113)</f>
        <v>0</v>
      </c>
      <c r="BF113" s="416">
        <f t="shared" ref="BF113" si="406">SUM(AT113:BE113)</f>
        <v>0</v>
      </c>
      <c r="BG113" s="415">
        <f t="shared" ref="BG113" si="407">IF($F113=BG$6,($D113+$E113)/12,BE113*(1+BG$8))</f>
        <v>0</v>
      </c>
      <c r="BH113" s="415">
        <f t="shared" ref="BH113" si="408">IF($F113=BH$6,(($D113+$E113)/12),BG113)</f>
        <v>0</v>
      </c>
      <c r="BI113" s="415">
        <f t="shared" ref="BI113" si="409">IF($F113=BI$6,(($D113+$E113)/12),BH113)</f>
        <v>0</v>
      </c>
      <c r="BJ113" s="415">
        <f t="shared" ref="BJ113" si="410">IF($F113=BJ$6,(($D113+$E113)/12),BI113)</f>
        <v>0</v>
      </c>
      <c r="BK113" s="415">
        <f t="shared" ref="BK113" si="411">IF($F113=BK$6,(($D113+$E113)/12),BJ113)</f>
        <v>0</v>
      </c>
      <c r="BL113" s="415">
        <f t="shared" ref="BL113" si="412">IF($F113=BL$6,(($D113+$E113)/12),BK113)</f>
        <v>0</v>
      </c>
      <c r="BM113" s="415">
        <f t="shared" ref="BM113" si="413">IF($F113=BM$6,(($D113+$E113)/12),BL113)</f>
        <v>0</v>
      </c>
      <c r="BN113" s="415">
        <f t="shared" ref="BN113" si="414">IF($F113=BN$6,(($D113+$E113)/12),BM113)</f>
        <v>0</v>
      </c>
      <c r="BO113" s="415">
        <f t="shared" ref="BO113" si="415">IF($F113=BO$6,(($D113+$E113)/12),BN113)</f>
        <v>0</v>
      </c>
      <c r="BP113" s="415">
        <f t="shared" ref="BP113" si="416">IF($F113=BP$6,(($D113+$E113)/12),BO113)</f>
        <v>0</v>
      </c>
      <c r="BQ113" s="415">
        <f t="shared" ref="BQ113" si="417">IF($F113=BQ$6,(($D113+$E113)/12),BP113)</f>
        <v>0</v>
      </c>
      <c r="BR113" s="415">
        <f t="shared" ref="BR113" si="418">IF($F113=BR$6,(($D113+$E113)/12),BQ113)</f>
        <v>0</v>
      </c>
      <c r="BS113" s="416">
        <f t="shared" ref="BS113" si="419">SUM(BG113:BR113)</f>
        <v>0</v>
      </c>
      <c r="BT113" s="415">
        <f t="shared" ref="BT113" si="420">IF($F113=BT$6,($D113+$E113)/12,BR113*(1+BT$8))</f>
        <v>0</v>
      </c>
      <c r="BU113" s="415">
        <f t="shared" ref="BU113" si="421">IF($F113=BU$6,(($D113+$E113)/12),BT113)</f>
        <v>0</v>
      </c>
      <c r="BV113" s="415">
        <f t="shared" ref="BV113" si="422">IF($F113=BV$6,(($D113+$E113)/12),BU113)</f>
        <v>0</v>
      </c>
      <c r="BW113" s="415">
        <f t="shared" ref="BW113" si="423">IF($F113=BW$6,(($D113+$E113)/12),BV113)</f>
        <v>0</v>
      </c>
      <c r="BX113" s="415">
        <f t="shared" ref="BX113" si="424">IF($F113=BX$6,(($D113+$E113)/12),BW113)</f>
        <v>0</v>
      </c>
      <c r="BY113" s="415">
        <f t="shared" ref="BY113" si="425">IF($F113=BY$6,(($D113+$E113)/12),BX113)</f>
        <v>0</v>
      </c>
      <c r="BZ113" s="415">
        <f t="shared" ref="BZ113" si="426">IF($F113=BZ$6,(($D113+$E113)/12),BY113)</f>
        <v>0</v>
      </c>
      <c r="CA113" s="415">
        <f t="shared" ref="CA113" si="427">IF($F113=CA$6,(($D113+$E113)/12),BZ113)</f>
        <v>0</v>
      </c>
      <c r="CB113" s="415">
        <f t="shared" ref="CB113" si="428">IF($F113=CB$6,(($D113+$E113)/12),CA113)</f>
        <v>0</v>
      </c>
      <c r="CC113" s="415">
        <f t="shared" ref="CC113" si="429">IF($F113=CC$6,(($D113+$E113)/12),CB113)</f>
        <v>0</v>
      </c>
      <c r="CD113" s="415">
        <f t="shared" ref="CD113" si="430">IF($F113=CD$6,(($D113+$E113)/12),CC113)</f>
        <v>0</v>
      </c>
      <c r="CE113" s="415">
        <f t="shared" ref="CE113" si="431">IF($F113=CE$6,(($D113+$E113)/12),CD113)</f>
        <v>0</v>
      </c>
      <c r="CF113" s="416">
        <f t="shared" ref="CF113" si="432">SUM(BT113:CE113)</f>
        <v>0</v>
      </c>
    </row>
    <row r="114" spans="1:84">
      <c r="A114" s="399"/>
      <c r="B114" s="479" t="s">
        <v>904</v>
      </c>
      <c r="C114" s="412" t="s">
        <v>628</v>
      </c>
      <c r="D114" s="413">
        <v>60000</v>
      </c>
      <c r="E114" s="413"/>
      <c r="F114" s="414" t="s">
        <v>50</v>
      </c>
      <c r="G114" s="415"/>
      <c r="H114" s="415"/>
      <c r="I114" s="415"/>
      <c r="J114" s="415"/>
      <c r="K114" s="415"/>
      <c r="L114" s="415"/>
      <c r="M114" s="415"/>
      <c r="N114" s="415"/>
      <c r="O114" s="415"/>
      <c r="P114" s="415"/>
      <c r="Q114" s="415"/>
      <c r="R114" s="415"/>
      <c r="S114" s="416"/>
      <c r="T114" s="415">
        <f t="shared" ref="T114" si="433">IF($F114=T$6,(($D114+$E114)*(1+$T$8))/12,R114*(1+T$8))</f>
        <v>0</v>
      </c>
      <c r="U114" s="415">
        <f t="shared" ref="U114" si="434">IF($F114=U$6,(($D114+$E114)/12),T114)</f>
        <v>5000</v>
      </c>
      <c r="V114" s="415">
        <f t="shared" ref="V114" si="435">IF($F114=V$6,(($D114+$E114)/12),U114)</f>
        <v>5000</v>
      </c>
      <c r="W114" s="415">
        <f t="shared" ref="W114" si="436">IF($F114=W$6,(($D114+$E114)/12),V114)</f>
        <v>5000</v>
      </c>
      <c r="X114" s="415">
        <f t="shared" ref="X114" si="437">IF($F114=X$6,(($D114+$E114)/12),W114)</f>
        <v>5000</v>
      </c>
      <c r="Y114" s="415">
        <f t="shared" ref="Y114" si="438">IF($F114=Y$6,(($D114+$E114)/12),X114)</f>
        <v>5000</v>
      </c>
      <c r="Z114" s="415">
        <f t="shared" ref="Z114" si="439">IF($F114=Z$6,(($D114+$E114)/12),Y114)</f>
        <v>5000</v>
      </c>
      <c r="AA114" s="415">
        <f t="shared" ref="AA114" si="440">IF($F114=AA$6,(($D114+$E114)/12),Z114)</f>
        <v>5000</v>
      </c>
      <c r="AB114" s="415">
        <v>0</v>
      </c>
      <c r="AC114" s="415">
        <f t="shared" ref="AC114" si="441">IF($F114=AC$6,(($D114+$E114)/12),AB114)</f>
        <v>0</v>
      </c>
      <c r="AD114" s="415">
        <f t="shared" ref="AD114" si="442">IF($F114=AD$6,(($D114+$E114)/12),AC114)</f>
        <v>0</v>
      </c>
      <c r="AE114" s="415">
        <v>5000</v>
      </c>
      <c r="AF114" s="416">
        <f t="shared" ref="AF114" si="443">SUM(T114:AE114)</f>
        <v>40000</v>
      </c>
      <c r="AG114" s="415">
        <v>0</v>
      </c>
      <c r="AH114" s="415">
        <f t="shared" ref="AH114" si="444">IF($F114=AH$6,(($D114+$E114)/12),AG114)</f>
        <v>0</v>
      </c>
      <c r="AI114" s="415">
        <f t="shared" ref="AI114" si="445">IF($F114=AI$6,(($D114+$E114)/12),AH114)</f>
        <v>0</v>
      </c>
      <c r="AJ114" s="415">
        <f t="shared" ref="AJ114" si="446">IF($F114=AJ$6,(($D114+$E114)/12),AI114)</f>
        <v>0</v>
      </c>
      <c r="AK114" s="415">
        <f t="shared" ref="AK114" si="447">IF($F114=AK$6,(($D114+$E114)/12),AJ114)</f>
        <v>0</v>
      </c>
      <c r="AL114" s="415">
        <f t="shared" ref="AL114" si="448">IF($F114=AL$6,(($D114+$E114)/12),AK114)</f>
        <v>0</v>
      </c>
      <c r="AM114" s="415">
        <f t="shared" ref="AM114" si="449">IF($F114=AM$6,(($D114+$E114)/12),AL114)</f>
        <v>0</v>
      </c>
      <c r="AN114" s="415">
        <f t="shared" ref="AN114" si="450">IF($F114=AN$6,(($D114+$E114)/12),AM114)</f>
        <v>0</v>
      </c>
      <c r="AO114" s="415">
        <f t="shared" ref="AO114" si="451">IF($F114=AO$6,(($D114+$E114)/12),AN114)</f>
        <v>0</v>
      </c>
      <c r="AP114" s="415">
        <f t="shared" ref="AP114" si="452">IF($F114=AP$6,(($D114+$E114)/12),AO114)</f>
        <v>0</v>
      </c>
      <c r="AQ114" s="415">
        <f t="shared" ref="AQ114" si="453">IF($F114=AQ$6,(($D114+$E114)/12),AP114)</f>
        <v>0</v>
      </c>
      <c r="AR114" s="415">
        <f t="shared" ref="AR114" si="454">IF($F114=AR$6,(($D114+$E114)/12),AQ114)</f>
        <v>0</v>
      </c>
      <c r="AS114" s="416">
        <f t="shared" ref="AS114" si="455">SUM(AG114:AR114)</f>
        <v>0</v>
      </c>
      <c r="AT114" s="415">
        <f t="shared" ref="AT114" si="456">IF($F114=AT$6,($D114+$E114)/12,AR114*(1+AT$8))</f>
        <v>0</v>
      </c>
      <c r="AU114" s="415">
        <f t="shared" ref="AU114" si="457">IF($F114=AU$6,(($D114+$E114)/12),AT114)</f>
        <v>0</v>
      </c>
      <c r="AV114" s="415">
        <f t="shared" ref="AV114" si="458">IF($F114=AV$6,(($D114+$E114)/12),AU114)</f>
        <v>0</v>
      </c>
      <c r="AW114" s="415">
        <f t="shared" ref="AW114" si="459">IF($F114=AW$6,(($D114+$E114)/12),AV114)</f>
        <v>0</v>
      </c>
      <c r="AX114" s="415">
        <f t="shared" ref="AX114" si="460">IF($F114=AX$6,(($D114+$E114)/12),AW114)</f>
        <v>0</v>
      </c>
      <c r="AY114" s="415">
        <f t="shared" ref="AY114" si="461">IF($F114=AY$6,(($D114+$E114)/12),AX114)</f>
        <v>0</v>
      </c>
      <c r="AZ114" s="415">
        <f t="shared" ref="AZ114" si="462">IF($F114=AZ$6,(($D114+$E114)/12),AY114)</f>
        <v>0</v>
      </c>
      <c r="BA114" s="415">
        <f t="shared" ref="BA114" si="463">IF($F114=BA$6,(($D114+$E114)/12),AZ114)</f>
        <v>0</v>
      </c>
      <c r="BB114" s="415">
        <f t="shared" ref="BB114" si="464">IF($F114=BB$6,(($D114+$E114)/12),BA114)</f>
        <v>0</v>
      </c>
      <c r="BC114" s="415">
        <f t="shared" ref="BC114" si="465">IF($F114=BC$6,(($D114+$E114)/12),BB114)</f>
        <v>0</v>
      </c>
      <c r="BD114" s="415">
        <f t="shared" ref="BD114" si="466">IF($F114=BD$6,(($D114+$E114)/12),BC114)</f>
        <v>0</v>
      </c>
      <c r="BE114" s="415">
        <f t="shared" ref="BE114" si="467">IF($F114=BE$6,(($D114+$E114)/12),BD114)</f>
        <v>0</v>
      </c>
      <c r="BF114" s="416">
        <f t="shared" ref="BF114" si="468">SUM(AT114:BE114)</f>
        <v>0</v>
      </c>
      <c r="BG114" s="415">
        <f t="shared" ref="BG114" si="469">IF($F114=BG$6,($D114+$E114)/12,BE114*(1+BG$8))</f>
        <v>0</v>
      </c>
      <c r="BH114" s="415">
        <f t="shared" ref="BH114" si="470">IF($F114=BH$6,(($D114+$E114)/12),BG114)</f>
        <v>0</v>
      </c>
      <c r="BI114" s="415">
        <f t="shared" ref="BI114" si="471">IF($F114=BI$6,(($D114+$E114)/12),BH114)</f>
        <v>0</v>
      </c>
      <c r="BJ114" s="415">
        <f t="shared" ref="BJ114" si="472">IF($F114=BJ$6,(($D114+$E114)/12),BI114)</f>
        <v>0</v>
      </c>
      <c r="BK114" s="415">
        <f t="shared" ref="BK114" si="473">IF($F114=BK$6,(($D114+$E114)/12),BJ114)</f>
        <v>0</v>
      </c>
      <c r="BL114" s="415">
        <f t="shared" ref="BL114" si="474">IF($F114=BL$6,(($D114+$E114)/12),BK114)</f>
        <v>0</v>
      </c>
      <c r="BM114" s="415">
        <f t="shared" ref="BM114" si="475">IF($F114=BM$6,(($D114+$E114)/12),BL114)</f>
        <v>0</v>
      </c>
      <c r="BN114" s="415">
        <f t="shared" ref="BN114" si="476">IF($F114=BN$6,(($D114+$E114)/12),BM114)</f>
        <v>0</v>
      </c>
      <c r="BO114" s="415">
        <f t="shared" ref="BO114" si="477">IF($F114=BO$6,(($D114+$E114)/12),BN114)</f>
        <v>0</v>
      </c>
      <c r="BP114" s="415">
        <f t="shared" ref="BP114" si="478">IF($F114=BP$6,(($D114+$E114)/12),BO114)</f>
        <v>0</v>
      </c>
      <c r="BQ114" s="415">
        <f t="shared" ref="BQ114" si="479">IF($F114=BQ$6,(($D114+$E114)/12),BP114)</f>
        <v>0</v>
      </c>
      <c r="BR114" s="415">
        <f t="shared" ref="BR114" si="480">IF($F114=BR$6,(($D114+$E114)/12),BQ114)</f>
        <v>0</v>
      </c>
      <c r="BS114" s="416">
        <f t="shared" ref="BS114" si="481">SUM(BG114:BR114)</f>
        <v>0</v>
      </c>
      <c r="BT114" s="415">
        <f t="shared" ref="BT114" si="482">IF($F114=BT$6,($D114+$E114)/12,BR114*(1+BT$8))</f>
        <v>0</v>
      </c>
      <c r="BU114" s="415">
        <f t="shared" ref="BU114" si="483">IF($F114=BU$6,(($D114+$E114)/12),BT114)</f>
        <v>0</v>
      </c>
      <c r="BV114" s="415">
        <f t="shared" ref="BV114" si="484">IF($F114=BV$6,(($D114+$E114)/12),BU114)</f>
        <v>0</v>
      </c>
      <c r="BW114" s="415">
        <f t="shared" ref="BW114" si="485">IF($F114=BW$6,(($D114+$E114)/12),BV114)</f>
        <v>0</v>
      </c>
      <c r="BX114" s="415">
        <f t="shared" ref="BX114" si="486">IF($F114=BX$6,(($D114+$E114)/12),BW114)</f>
        <v>0</v>
      </c>
      <c r="BY114" s="415">
        <f t="shared" ref="BY114" si="487">IF($F114=BY$6,(($D114+$E114)/12),BX114)</f>
        <v>0</v>
      </c>
      <c r="BZ114" s="415">
        <f t="shared" ref="BZ114" si="488">IF($F114=BZ$6,(($D114+$E114)/12),BY114)</f>
        <v>0</v>
      </c>
      <c r="CA114" s="415">
        <f t="shared" ref="CA114" si="489">IF($F114=CA$6,(($D114+$E114)/12),BZ114)</f>
        <v>0</v>
      </c>
      <c r="CB114" s="415">
        <f t="shared" ref="CB114" si="490">IF($F114=CB$6,(($D114+$E114)/12),CA114)</f>
        <v>0</v>
      </c>
      <c r="CC114" s="415">
        <f t="shared" ref="CC114" si="491">IF($F114=CC$6,(($D114+$E114)/12),CB114)</f>
        <v>0</v>
      </c>
      <c r="CD114" s="415">
        <f t="shared" ref="CD114" si="492">IF($F114=CD$6,(($D114+$E114)/12),CC114)</f>
        <v>0</v>
      </c>
      <c r="CE114" s="415">
        <f t="shared" ref="CE114" si="493">IF($F114=CE$6,(($D114+$E114)/12),CD114)</f>
        <v>0</v>
      </c>
      <c r="CF114" s="416">
        <f t="shared" ref="CF114" si="494">SUM(BT114:CE114)</f>
        <v>0</v>
      </c>
    </row>
    <row r="115" spans="1:84">
      <c r="A115" s="408" t="s">
        <v>629</v>
      </c>
      <c r="B115" s="399"/>
      <c r="C115" s="424"/>
      <c r="D115" s="413"/>
      <c r="E115" s="413"/>
      <c r="F115" s="414"/>
      <c r="G115" s="415"/>
      <c r="H115" s="415"/>
      <c r="I115" s="415"/>
      <c r="J115" s="415"/>
      <c r="K115" s="415"/>
      <c r="L115" s="415"/>
      <c r="M115" s="415"/>
      <c r="N115" s="415"/>
      <c r="O115" s="415"/>
      <c r="P115" s="415"/>
      <c r="Q115" s="415"/>
      <c r="R115" s="415"/>
      <c r="S115" s="416"/>
      <c r="T115" s="415"/>
      <c r="U115" s="415"/>
      <c r="V115" s="415"/>
      <c r="W115" s="415"/>
      <c r="X115" s="415"/>
      <c r="Y115" s="415"/>
      <c r="Z115" s="415"/>
      <c r="AA115" s="415"/>
      <c r="AB115" s="415"/>
      <c r="AC115" s="415"/>
      <c r="AD115" s="415"/>
      <c r="AE115" s="415"/>
      <c r="AF115" s="416"/>
      <c r="AG115" s="415"/>
      <c r="AH115" s="415"/>
      <c r="AI115" s="415"/>
      <c r="AJ115" s="415"/>
      <c r="AK115" s="415"/>
      <c r="AL115" s="415"/>
      <c r="AM115" s="415"/>
      <c r="AN115" s="415"/>
      <c r="AO115" s="415"/>
      <c r="AP115" s="415"/>
      <c r="AQ115" s="415"/>
      <c r="AR115" s="415"/>
      <c r="AS115" s="416"/>
      <c r="AT115" s="415"/>
      <c r="AU115" s="415"/>
      <c r="AV115" s="415"/>
      <c r="AW115" s="415"/>
      <c r="AX115" s="415"/>
      <c r="AY115" s="415"/>
      <c r="AZ115" s="415"/>
      <c r="BA115" s="415"/>
      <c r="BB115" s="415"/>
      <c r="BC115" s="415"/>
      <c r="BD115" s="415"/>
      <c r="BE115" s="415"/>
      <c r="BF115" s="416"/>
      <c r="BG115" s="415"/>
      <c r="BH115" s="415"/>
      <c r="BI115" s="415"/>
      <c r="BJ115" s="415"/>
      <c r="BK115" s="415"/>
      <c r="BL115" s="415"/>
      <c r="BM115" s="415"/>
      <c r="BN115" s="415"/>
      <c r="BO115" s="415"/>
      <c r="BP115" s="415"/>
      <c r="BQ115" s="415"/>
      <c r="BR115" s="415"/>
      <c r="BS115" s="416"/>
      <c r="BT115" s="415"/>
      <c r="BU115" s="415"/>
      <c r="BV115" s="415"/>
      <c r="BW115" s="415"/>
      <c r="BX115" s="415"/>
      <c r="BY115" s="415"/>
      <c r="BZ115" s="415"/>
      <c r="CA115" s="415"/>
      <c r="CB115" s="415"/>
      <c r="CC115" s="415"/>
      <c r="CD115" s="415"/>
      <c r="CE115" s="415"/>
      <c r="CF115" s="416"/>
    </row>
    <row r="116" spans="1:84">
      <c r="A116" s="399"/>
      <c r="B116" s="957" t="s">
        <v>902</v>
      </c>
      <c r="C116" s="534" t="s">
        <v>785</v>
      </c>
      <c r="D116" s="423">
        <v>55000</v>
      </c>
      <c r="E116" s="427"/>
      <c r="F116" s="414" t="s">
        <v>49</v>
      </c>
      <c r="G116" s="415">
        <f t="shared" ref="G116" si="495">IF($F116=$G$6,(D116/12)+(E116/12),0)</f>
        <v>4583.333333333333</v>
      </c>
      <c r="H116" s="415">
        <f t="shared" ref="H116" si="496">G116</f>
        <v>4583.333333333333</v>
      </c>
      <c r="I116" s="415">
        <f t="shared" ref="I116" si="497">H116</f>
        <v>4583.333333333333</v>
      </c>
      <c r="J116" s="415">
        <f t="shared" ref="J116" si="498">I116</f>
        <v>4583.333333333333</v>
      </c>
      <c r="K116" s="415">
        <f t="shared" ref="K116" si="499">J116</f>
        <v>4583.333333333333</v>
      </c>
      <c r="L116" s="415">
        <f t="shared" ref="L116" si="500">K116</f>
        <v>4583.333333333333</v>
      </c>
      <c r="M116" s="415">
        <f t="shared" ref="M116" si="501">L116</f>
        <v>4583.333333333333</v>
      </c>
      <c r="N116" s="415">
        <f t="shared" ref="N116" si="502">M116</f>
        <v>4583.333333333333</v>
      </c>
      <c r="O116" s="415">
        <f t="shared" ref="O116" si="503">N116</f>
        <v>4583.333333333333</v>
      </c>
      <c r="P116" s="415">
        <f t="shared" ref="P116" si="504">O116</f>
        <v>4583.333333333333</v>
      </c>
      <c r="Q116" s="415">
        <f t="shared" ref="Q116" si="505">P116</f>
        <v>4583.333333333333</v>
      </c>
      <c r="R116" s="415">
        <f t="shared" ref="R116" si="506">Q116</f>
        <v>4583.333333333333</v>
      </c>
      <c r="S116" s="416">
        <f t="shared" ref="S116" si="507">SUM(G116:R116)</f>
        <v>55000.000000000007</v>
      </c>
      <c r="T116" s="415">
        <f t="shared" ref="T116" si="508">IF($F116=T$6,(($D116+$E116)*(1+$T$8))/12,R116*(1+T$8))</f>
        <v>4583.333333333333</v>
      </c>
      <c r="U116" s="415">
        <f t="shared" ref="U116" si="509">IF($F116=U$6,(($D116+$E116)/12),T116)</f>
        <v>4583.333333333333</v>
      </c>
      <c r="V116" s="415">
        <f t="shared" ref="V116" si="510">IF($F116=V$6,(($D116+$E116)/12),U116)</f>
        <v>4583.333333333333</v>
      </c>
      <c r="W116" s="415">
        <f t="shared" ref="W116" si="511">IF($F116=W$6,(($D116+$E116)/12),V116)</f>
        <v>4583.333333333333</v>
      </c>
      <c r="X116" s="415">
        <f t="shared" ref="X116" si="512">IF($F116=X$6,(($D116+$E116)/12),W116)</f>
        <v>4583.333333333333</v>
      </c>
      <c r="Y116" s="415">
        <f t="shared" ref="Y116" si="513">IF($F116=Y$6,(($D116+$E116)/12),X116)</f>
        <v>4583.333333333333</v>
      </c>
      <c r="Z116" s="415">
        <f t="shared" ref="Z116" si="514">IF($F116=Z$6,(($D116+$E116)/12),Y116)</f>
        <v>4583.333333333333</v>
      </c>
      <c r="AA116" s="415">
        <f t="shared" ref="AA116" si="515">IF($F116=AA$6,(($D116+$E116)/12),Z116)</f>
        <v>4583.333333333333</v>
      </c>
      <c r="AB116" s="415">
        <f t="shared" ref="AB116" si="516">IF($F116=AB$6,(($D116+$E116)/12),AA116)</f>
        <v>4583.333333333333</v>
      </c>
      <c r="AC116" s="415">
        <f t="shared" ref="AC116" si="517">IF($F116=AC$6,(($D116+$E116)/12),AB116)</f>
        <v>4583.333333333333</v>
      </c>
      <c r="AD116" s="415">
        <f t="shared" ref="AD116" si="518">IF($F116=AD$6,(($D116+$E116)/12),AC116)</f>
        <v>4583.333333333333</v>
      </c>
      <c r="AE116" s="415">
        <f t="shared" ref="AE116" si="519">IF($F116=AE$6,(($D116+$E116)/12),AD116)</f>
        <v>4583.333333333333</v>
      </c>
      <c r="AF116" s="416">
        <f t="shared" ref="AF116" si="520">SUM(T116:AE116)</f>
        <v>55000.000000000007</v>
      </c>
      <c r="AG116" s="415">
        <f t="shared" ref="AG116" si="521">IF($F116=AG$6,($D116+$E116)/12,AE116*(1+AG$8))</f>
        <v>4766.6666666666661</v>
      </c>
      <c r="AH116" s="415">
        <f t="shared" ref="AH116" si="522">IF($F116=AH$6,(($D116+$E116)/12),AG116)</f>
        <v>4766.6666666666661</v>
      </c>
      <c r="AI116" s="415">
        <f t="shared" ref="AI116" si="523">IF($F116=AI$6,(($D116+$E116)/12),AH116)</f>
        <v>4766.6666666666661</v>
      </c>
      <c r="AJ116" s="415">
        <f t="shared" ref="AJ116" si="524">IF($F116=AJ$6,(($D116+$E116)/12),AI116)</f>
        <v>4766.6666666666661</v>
      </c>
      <c r="AK116" s="415">
        <f t="shared" ref="AK116" si="525">IF($F116=AK$6,(($D116+$E116)/12),AJ116)</f>
        <v>4766.6666666666661</v>
      </c>
      <c r="AL116" s="415">
        <f t="shared" ref="AL116" si="526">IF($F116=AL$6,(($D116+$E116)/12),AK116)</f>
        <v>4766.6666666666661</v>
      </c>
      <c r="AM116" s="415">
        <f t="shared" ref="AM116" si="527">IF($F116=AM$6,(($D116+$E116)/12),AL116)</f>
        <v>4766.6666666666661</v>
      </c>
      <c r="AN116" s="415">
        <f t="shared" ref="AN116" si="528">IF($F116=AN$6,(($D116+$E116)/12),AM116)</f>
        <v>4766.6666666666661</v>
      </c>
      <c r="AO116" s="415">
        <f t="shared" ref="AO116" si="529">IF($F116=AO$6,(($D116+$E116)/12),AN116)</f>
        <v>4766.6666666666661</v>
      </c>
      <c r="AP116" s="415">
        <f t="shared" ref="AP116" si="530">IF($F116=AP$6,(($D116+$E116)/12),AO116)</f>
        <v>4766.6666666666661</v>
      </c>
      <c r="AQ116" s="415">
        <f t="shared" ref="AQ116" si="531">IF($F116=AQ$6,(($D116+$E116)/12),AP116)</f>
        <v>4766.6666666666661</v>
      </c>
      <c r="AR116" s="415">
        <f t="shared" ref="AR116" si="532">IF($F116=AR$6,(($D116+$E116)/12),AQ116)</f>
        <v>4766.6666666666661</v>
      </c>
      <c r="AS116" s="416">
        <f t="shared" ref="AS116" si="533">SUM(AG116:AR116)</f>
        <v>57199.999999999978</v>
      </c>
      <c r="AT116" s="415">
        <f t="shared" ref="AT116" si="534">IF($F116=AT$6,($D116+$E116)/12,AR116*(1+AT$8))</f>
        <v>4957.333333333333</v>
      </c>
      <c r="AU116" s="415">
        <f t="shared" ref="AU116" si="535">IF($F116=AU$6,(($D116+$E116)/12),AT116)</f>
        <v>4957.333333333333</v>
      </c>
      <c r="AV116" s="415">
        <f t="shared" ref="AV116" si="536">IF($F116=AV$6,(($D116+$E116)/12),AU116)</f>
        <v>4957.333333333333</v>
      </c>
      <c r="AW116" s="415">
        <f t="shared" ref="AW116" si="537">IF($F116=AW$6,(($D116+$E116)/12),AV116)</f>
        <v>4957.333333333333</v>
      </c>
      <c r="AX116" s="415">
        <f t="shared" ref="AX116" si="538">IF($F116=AX$6,(($D116+$E116)/12),AW116)</f>
        <v>4957.333333333333</v>
      </c>
      <c r="AY116" s="415">
        <f t="shared" ref="AY116" si="539">IF($F116=AY$6,(($D116+$E116)/12),AX116)</f>
        <v>4957.333333333333</v>
      </c>
      <c r="AZ116" s="415">
        <f t="shared" ref="AZ116" si="540">IF($F116=AZ$6,(($D116+$E116)/12),AY116)</f>
        <v>4957.333333333333</v>
      </c>
      <c r="BA116" s="415">
        <f t="shared" ref="BA116" si="541">IF($F116=BA$6,(($D116+$E116)/12),AZ116)</f>
        <v>4957.333333333333</v>
      </c>
      <c r="BB116" s="415">
        <f t="shared" ref="BB116" si="542">IF($F116=BB$6,(($D116+$E116)/12),BA116)</f>
        <v>4957.333333333333</v>
      </c>
      <c r="BC116" s="415">
        <f t="shared" ref="BC116" si="543">IF($F116=BC$6,(($D116+$E116)/12),BB116)</f>
        <v>4957.333333333333</v>
      </c>
      <c r="BD116" s="415">
        <f t="shared" ref="BD116" si="544">IF($F116=BD$6,(($D116+$E116)/12),BC116)</f>
        <v>4957.333333333333</v>
      </c>
      <c r="BE116" s="415">
        <f t="shared" ref="BE116" si="545">IF($F116=BE$6,(($D116+$E116)/12),BD116)</f>
        <v>4957.333333333333</v>
      </c>
      <c r="BF116" s="416">
        <f t="shared" ref="BF116" si="546">SUM(AT116:BE116)</f>
        <v>59488.000000000007</v>
      </c>
      <c r="BG116" s="415">
        <f t="shared" ref="BG116" si="547">IF($F116=BG$6,($D116+$E116)/12,BE116*(1+BG$8))</f>
        <v>5155.6266666666661</v>
      </c>
      <c r="BH116" s="415">
        <f t="shared" ref="BH116" si="548">IF($F116=BH$6,(($D116+$E116)/12),BG116)</f>
        <v>5155.6266666666661</v>
      </c>
      <c r="BI116" s="415">
        <f t="shared" ref="BI116" si="549">IF($F116=BI$6,(($D116+$E116)/12),BH116)</f>
        <v>5155.6266666666661</v>
      </c>
      <c r="BJ116" s="415">
        <f t="shared" ref="BJ116" si="550">IF($F116=BJ$6,(($D116+$E116)/12),BI116)</f>
        <v>5155.6266666666661</v>
      </c>
      <c r="BK116" s="415">
        <f t="shared" ref="BK116" si="551">IF($F116=BK$6,(($D116+$E116)/12),BJ116)</f>
        <v>5155.6266666666661</v>
      </c>
      <c r="BL116" s="415">
        <f t="shared" ref="BL116" si="552">IF($F116=BL$6,(($D116+$E116)/12),BK116)</f>
        <v>5155.6266666666661</v>
      </c>
      <c r="BM116" s="415">
        <f t="shared" ref="BM116" si="553">IF($F116=BM$6,(($D116+$E116)/12),BL116)</f>
        <v>5155.6266666666661</v>
      </c>
      <c r="BN116" s="415">
        <f t="shared" ref="BN116" si="554">IF($F116=BN$6,(($D116+$E116)/12),BM116)</f>
        <v>5155.6266666666661</v>
      </c>
      <c r="BO116" s="415">
        <f t="shared" ref="BO116" si="555">IF($F116=BO$6,(($D116+$E116)/12),BN116)</f>
        <v>5155.6266666666661</v>
      </c>
      <c r="BP116" s="415">
        <f t="shared" ref="BP116" si="556">IF($F116=BP$6,(($D116+$E116)/12),BO116)</f>
        <v>5155.6266666666661</v>
      </c>
      <c r="BQ116" s="415">
        <f t="shared" ref="BQ116" si="557">IF($F116=BQ$6,(($D116+$E116)/12),BP116)</f>
        <v>5155.6266666666661</v>
      </c>
      <c r="BR116" s="415">
        <f t="shared" ref="BR116" si="558">IF($F116=BR$6,(($D116+$E116)/12),BQ116)</f>
        <v>5155.6266666666661</v>
      </c>
      <c r="BS116" s="416">
        <f t="shared" ref="BS116" si="559">SUM(BG116:BR116)</f>
        <v>61867.519999999982</v>
      </c>
      <c r="BT116" s="415">
        <f t="shared" ref="BT116" si="560">IF($F116=BT$6,($D116+$E116)/12,BR116*(1+BT$8))</f>
        <v>5361.851733333333</v>
      </c>
      <c r="BU116" s="415">
        <f t="shared" ref="BU116" si="561">IF($F116=BU$6,(($D116+$E116)/12),BT116)</f>
        <v>5361.851733333333</v>
      </c>
      <c r="BV116" s="415">
        <f t="shared" ref="BV116" si="562">IF($F116=BV$6,(($D116+$E116)/12),BU116)</f>
        <v>5361.851733333333</v>
      </c>
      <c r="BW116" s="415">
        <f t="shared" ref="BW116" si="563">IF($F116=BW$6,(($D116+$E116)/12),BV116)</f>
        <v>5361.851733333333</v>
      </c>
      <c r="BX116" s="415">
        <f t="shared" ref="BX116" si="564">IF($F116=BX$6,(($D116+$E116)/12),BW116)</f>
        <v>5361.851733333333</v>
      </c>
      <c r="BY116" s="415">
        <f t="shared" ref="BY116" si="565">IF($F116=BY$6,(($D116+$E116)/12),BX116)</f>
        <v>5361.851733333333</v>
      </c>
      <c r="BZ116" s="415">
        <f t="shared" ref="BZ116" si="566">IF($F116=BZ$6,(($D116+$E116)/12),BY116)</f>
        <v>5361.851733333333</v>
      </c>
      <c r="CA116" s="415">
        <f t="shared" ref="CA116" si="567">IF($F116=CA$6,(($D116+$E116)/12),BZ116)</f>
        <v>5361.851733333333</v>
      </c>
      <c r="CB116" s="415">
        <f t="shared" ref="CB116" si="568">IF($F116=CB$6,(($D116+$E116)/12),CA116)</f>
        <v>5361.851733333333</v>
      </c>
      <c r="CC116" s="415">
        <f t="shared" ref="CC116" si="569">IF($F116=CC$6,(($D116+$E116)/12),CB116)</f>
        <v>5361.851733333333</v>
      </c>
      <c r="CD116" s="415">
        <f t="shared" ref="CD116" si="570">IF($F116=CD$6,(($D116+$E116)/12),CC116)</f>
        <v>5361.851733333333</v>
      </c>
      <c r="CE116" s="415">
        <f t="shared" ref="CE116" si="571">IF($F116=CE$6,(($D116+$E116)/12),CD116)</f>
        <v>5361.851733333333</v>
      </c>
      <c r="CF116" s="416">
        <f t="shared" ref="CF116" si="572">SUM(BT116:CE116)</f>
        <v>64342.220799999981</v>
      </c>
    </row>
    <row r="117" spans="1:84">
      <c r="A117" s="408" t="s">
        <v>637</v>
      </c>
      <c r="B117" s="958"/>
      <c r="C117" s="420"/>
      <c r="D117" s="423"/>
      <c r="E117" s="427"/>
      <c r="F117" s="414"/>
      <c r="G117" s="415"/>
      <c r="H117" s="415"/>
      <c r="I117" s="415"/>
      <c r="J117" s="415"/>
      <c r="K117" s="415"/>
      <c r="L117" s="415"/>
      <c r="M117" s="415"/>
      <c r="N117" s="415"/>
      <c r="O117" s="415"/>
      <c r="P117" s="415"/>
      <c r="Q117" s="415"/>
      <c r="R117" s="415"/>
      <c r="S117" s="416"/>
      <c r="T117" s="415"/>
      <c r="U117" s="415"/>
      <c r="V117" s="415"/>
      <c r="W117" s="415"/>
      <c r="X117" s="415"/>
      <c r="Y117" s="415"/>
      <c r="Z117" s="415"/>
      <c r="AA117" s="415"/>
      <c r="AB117" s="415"/>
      <c r="AC117" s="415"/>
      <c r="AD117" s="415"/>
      <c r="AE117" s="415"/>
      <c r="AF117" s="416"/>
      <c r="AG117" s="415"/>
      <c r="AH117" s="415"/>
      <c r="AI117" s="415"/>
      <c r="AJ117" s="415"/>
      <c r="AK117" s="415"/>
      <c r="AL117" s="415"/>
      <c r="AM117" s="415"/>
      <c r="AN117" s="415"/>
      <c r="AO117" s="415"/>
      <c r="AP117" s="415"/>
      <c r="AQ117" s="415"/>
      <c r="AR117" s="415"/>
      <c r="AS117" s="416"/>
      <c r="AT117" s="415"/>
      <c r="AU117" s="415"/>
      <c r="AV117" s="415"/>
      <c r="AW117" s="415"/>
      <c r="AX117" s="415"/>
      <c r="AY117" s="415"/>
      <c r="AZ117" s="415"/>
      <c r="BA117" s="415"/>
      <c r="BB117" s="415"/>
      <c r="BC117" s="415"/>
      <c r="BD117" s="415"/>
      <c r="BE117" s="415"/>
      <c r="BF117" s="416"/>
      <c r="BG117" s="415"/>
      <c r="BH117" s="415"/>
      <c r="BI117" s="415"/>
      <c r="BJ117" s="415"/>
      <c r="BK117" s="415"/>
      <c r="BL117" s="415"/>
      <c r="BM117" s="415"/>
      <c r="BN117" s="415"/>
      <c r="BO117" s="415"/>
      <c r="BP117" s="415"/>
      <c r="BQ117" s="415"/>
      <c r="BR117" s="415"/>
      <c r="BS117" s="416"/>
      <c r="BT117" s="415"/>
      <c r="BU117" s="415"/>
      <c r="BV117" s="415"/>
      <c r="BW117" s="415"/>
      <c r="BX117" s="415"/>
      <c r="BY117" s="415"/>
      <c r="BZ117" s="415"/>
      <c r="CA117" s="415"/>
      <c r="CB117" s="415"/>
      <c r="CC117" s="415"/>
      <c r="CD117" s="415"/>
      <c r="CE117" s="415"/>
      <c r="CF117" s="416"/>
    </row>
    <row r="118" spans="1:84">
      <c r="A118" s="399"/>
      <c r="B118" s="957" t="s">
        <v>585</v>
      </c>
      <c r="C118" s="534" t="s">
        <v>744</v>
      </c>
      <c r="D118" s="423">
        <v>60000</v>
      </c>
      <c r="E118" s="427"/>
      <c r="F118" s="414" t="s">
        <v>49</v>
      </c>
      <c r="G118" s="415">
        <f t="shared" ref="G118" si="573">IF($F118=$G$6,(D118/12)+(E118/12),0)</f>
        <v>5000</v>
      </c>
      <c r="H118" s="415">
        <f t="shared" ref="H118" si="574">G118</f>
        <v>5000</v>
      </c>
      <c r="I118" s="415">
        <f t="shared" ref="I118" si="575">H118</f>
        <v>5000</v>
      </c>
      <c r="J118" s="415">
        <f t="shared" ref="J118" si="576">I118</f>
        <v>5000</v>
      </c>
      <c r="K118" s="415">
        <f t="shared" ref="K118" si="577">J118</f>
        <v>5000</v>
      </c>
      <c r="L118" s="415">
        <f t="shared" ref="L118" si="578">K118</f>
        <v>5000</v>
      </c>
      <c r="M118" s="415">
        <f t="shared" ref="M118" si="579">L118</f>
        <v>5000</v>
      </c>
      <c r="N118" s="415">
        <f t="shared" ref="N118" si="580">M118</f>
        <v>5000</v>
      </c>
      <c r="O118" s="415">
        <f t="shared" ref="O118" si="581">N118</f>
        <v>5000</v>
      </c>
      <c r="P118" s="415">
        <f t="shared" ref="P118" si="582">O118</f>
        <v>5000</v>
      </c>
      <c r="Q118" s="415">
        <f t="shared" ref="Q118" si="583">P118</f>
        <v>5000</v>
      </c>
      <c r="R118" s="415">
        <f t="shared" ref="R118" si="584">Q118</f>
        <v>5000</v>
      </c>
      <c r="S118" s="416">
        <f t="shared" ref="S118" si="585">SUM(G118:R118)</f>
        <v>60000</v>
      </c>
      <c r="T118" s="415">
        <v>10000</v>
      </c>
      <c r="U118" s="415">
        <v>5000</v>
      </c>
      <c r="V118" s="415">
        <v>0</v>
      </c>
      <c r="W118" s="415">
        <f t="shared" ref="W118" si="586">IF($F118=W$6,(($D118+$E118)/12),V118)</f>
        <v>0</v>
      </c>
      <c r="X118" s="415">
        <f t="shared" ref="X118" si="587">IF($F118=X$6,(($D118+$E118)/12),W118)</f>
        <v>0</v>
      </c>
      <c r="Y118" s="415">
        <f>X118</f>
        <v>0</v>
      </c>
      <c r="Z118" s="415">
        <f t="shared" ref="Z118:AA118" si="588">IF($F118=Z$6,(($D118+$E118)/12),Y118)</f>
        <v>0</v>
      </c>
      <c r="AA118" s="415">
        <f t="shared" si="588"/>
        <v>0</v>
      </c>
      <c r="AB118" s="415">
        <f t="shared" ref="AB118" si="589">IF($F118=AB$6,(($D118+$E118)/12),AA118)</f>
        <v>0</v>
      </c>
      <c r="AC118" s="415">
        <f t="shared" ref="AC118" si="590">IF($F118=AC$6,(($D118+$E118)/12),AB118)</f>
        <v>0</v>
      </c>
      <c r="AD118" s="415">
        <f t="shared" ref="AD118" si="591">IF($F118=AD$6,(($D118+$E118)/12),AC118)</f>
        <v>0</v>
      </c>
      <c r="AE118" s="415">
        <f t="shared" ref="AE118" si="592">IF($F118=AE$6,(($D118+$E118)/12),AD118)</f>
        <v>0</v>
      </c>
      <c r="AF118" s="416">
        <f t="shared" ref="AF118" si="593">SUM(T118:AE118)</f>
        <v>15000</v>
      </c>
      <c r="AG118" s="415">
        <f t="shared" ref="AG118" si="594">IF($F118=AG$6,($D118+$E118)/12,AE118*(1+AG$8))</f>
        <v>0</v>
      </c>
      <c r="AH118" s="415">
        <f t="shared" ref="AH118" si="595">IF($F118=AH$6,(($D118+$E118)/12),AG118)</f>
        <v>0</v>
      </c>
      <c r="AI118" s="415">
        <f t="shared" ref="AI118" si="596">IF($F118=AI$6,(($D118+$E118)/12),AH118)</f>
        <v>0</v>
      </c>
      <c r="AJ118" s="415">
        <f t="shared" ref="AJ118" si="597">IF($F118=AJ$6,(($D118+$E118)/12),AI118)</f>
        <v>0</v>
      </c>
      <c r="AK118" s="415">
        <f t="shared" ref="AK118" si="598">IF($F118=AK$6,(($D118+$E118)/12),AJ118)</f>
        <v>0</v>
      </c>
      <c r="AL118" s="415">
        <f t="shared" ref="AL118" si="599">IF($F118=AL$6,(($D118+$E118)/12),AK118)</f>
        <v>0</v>
      </c>
      <c r="AM118" s="415">
        <f t="shared" ref="AM118" si="600">IF($F118=AM$6,(($D118+$E118)/12),AL118)</f>
        <v>0</v>
      </c>
      <c r="AN118" s="415">
        <f t="shared" ref="AN118" si="601">IF($F118=AN$6,(($D118+$E118)/12),AM118)</f>
        <v>0</v>
      </c>
      <c r="AO118" s="415">
        <f t="shared" ref="AO118" si="602">IF($F118=AO$6,(($D118+$E118)/12),AN118)</f>
        <v>0</v>
      </c>
      <c r="AP118" s="415">
        <f t="shared" ref="AP118" si="603">IF($F118=AP$6,(($D118+$E118)/12),AO118)</f>
        <v>0</v>
      </c>
      <c r="AQ118" s="415">
        <f t="shared" ref="AQ118" si="604">IF($F118=AQ$6,(($D118+$E118)/12),AP118)</f>
        <v>0</v>
      </c>
      <c r="AR118" s="415">
        <f t="shared" ref="AR118" si="605">IF($F118=AR$6,(($D118+$E118)/12),AQ118)</f>
        <v>0</v>
      </c>
      <c r="AS118" s="416">
        <f t="shared" ref="AS118" si="606">SUM(AG118:AR118)</f>
        <v>0</v>
      </c>
      <c r="AT118" s="415">
        <f t="shared" ref="AT118" si="607">IF($F118=AT$6,($D118+$E118)/12,AR118*(1+AT$8))</f>
        <v>0</v>
      </c>
      <c r="AU118" s="415">
        <f t="shared" ref="AU118" si="608">IF($F118=AU$6,(($D118+$E118)/12),AT118)</f>
        <v>0</v>
      </c>
      <c r="AV118" s="415">
        <f t="shared" ref="AV118" si="609">IF($F118=AV$6,(($D118+$E118)/12),AU118)</f>
        <v>0</v>
      </c>
      <c r="AW118" s="415">
        <f t="shared" ref="AW118" si="610">IF($F118=AW$6,(($D118+$E118)/12),AV118)</f>
        <v>0</v>
      </c>
      <c r="AX118" s="415">
        <f t="shared" ref="AX118" si="611">IF($F118=AX$6,(($D118+$E118)/12),AW118)</f>
        <v>0</v>
      </c>
      <c r="AY118" s="415">
        <f t="shared" ref="AY118" si="612">IF($F118=AY$6,(($D118+$E118)/12),AX118)</f>
        <v>0</v>
      </c>
      <c r="AZ118" s="415">
        <f t="shared" ref="AZ118" si="613">IF($F118=AZ$6,(($D118+$E118)/12),AY118)</f>
        <v>0</v>
      </c>
      <c r="BA118" s="415">
        <f t="shared" ref="BA118" si="614">IF($F118=BA$6,(($D118+$E118)/12),AZ118)</f>
        <v>0</v>
      </c>
      <c r="BB118" s="415">
        <f t="shared" ref="BB118" si="615">IF($F118=BB$6,(($D118+$E118)/12),BA118)</f>
        <v>0</v>
      </c>
      <c r="BC118" s="415">
        <f t="shared" ref="BC118" si="616">IF($F118=BC$6,(($D118+$E118)/12),BB118)</f>
        <v>0</v>
      </c>
      <c r="BD118" s="415">
        <f t="shared" ref="BD118" si="617">IF($F118=BD$6,(($D118+$E118)/12),BC118)</f>
        <v>0</v>
      </c>
      <c r="BE118" s="415">
        <f t="shared" ref="BE118" si="618">IF($F118=BE$6,(($D118+$E118)/12),BD118)</f>
        <v>0</v>
      </c>
      <c r="BF118" s="416">
        <f t="shared" ref="BF118" si="619">SUM(AT118:BE118)</f>
        <v>0</v>
      </c>
      <c r="BG118" s="415">
        <f t="shared" ref="BG118" si="620">IF($F118=BG$6,($D118+$E118)/12,BE118*(1+BG$8))</f>
        <v>0</v>
      </c>
      <c r="BH118" s="415">
        <f t="shared" ref="BH118" si="621">IF($F118=BH$6,(($D118+$E118)/12),BG118)</f>
        <v>0</v>
      </c>
      <c r="BI118" s="415">
        <f t="shared" ref="BI118" si="622">IF($F118=BI$6,(($D118+$E118)/12),BH118)</f>
        <v>0</v>
      </c>
      <c r="BJ118" s="415">
        <f t="shared" ref="BJ118" si="623">IF($F118=BJ$6,(($D118+$E118)/12),BI118)</f>
        <v>0</v>
      </c>
      <c r="BK118" s="415">
        <f t="shared" ref="BK118" si="624">IF($F118=BK$6,(($D118+$E118)/12),BJ118)</f>
        <v>0</v>
      </c>
      <c r="BL118" s="415">
        <f t="shared" ref="BL118" si="625">IF($F118=BL$6,(($D118+$E118)/12),BK118)</f>
        <v>0</v>
      </c>
      <c r="BM118" s="415">
        <f t="shared" ref="BM118" si="626">IF($F118=BM$6,(($D118+$E118)/12),BL118)</f>
        <v>0</v>
      </c>
      <c r="BN118" s="415">
        <f t="shared" ref="BN118" si="627">IF($F118=BN$6,(($D118+$E118)/12),BM118)</f>
        <v>0</v>
      </c>
      <c r="BO118" s="415">
        <f t="shared" ref="BO118" si="628">IF($F118=BO$6,(($D118+$E118)/12),BN118)</f>
        <v>0</v>
      </c>
      <c r="BP118" s="415">
        <f t="shared" ref="BP118" si="629">IF($F118=BP$6,(($D118+$E118)/12),BO118)</f>
        <v>0</v>
      </c>
      <c r="BQ118" s="415">
        <f t="shared" ref="BQ118" si="630">IF($F118=BQ$6,(($D118+$E118)/12),BP118)</f>
        <v>0</v>
      </c>
      <c r="BR118" s="415">
        <f t="shared" ref="BR118" si="631">IF($F118=BR$6,(($D118+$E118)/12),BQ118)</f>
        <v>0</v>
      </c>
      <c r="BS118" s="416">
        <f t="shared" ref="BS118" si="632">SUM(BG118:BR118)</f>
        <v>0</v>
      </c>
      <c r="BT118" s="415">
        <f t="shared" ref="BT118" si="633">IF($F118=BT$6,($D118+$E118)/12,BR118*(1+BT$8))</f>
        <v>0</v>
      </c>
      <c r="BU118" s="415">
        <f t="shared" ref="BU118" si="634">IF($F118=BU$6,(($D118+$E118)/12),BT118)</f>
        <v>0</v>
      </c>
      <c r="BV118" s="415">
        <f t="shared" ref="BV118" si="635">IF($F118=BV$6,(($D118+$E118)/12),BU118)</f>
        <v>0</v>
      </c>
      <c r="BW118" s="415">
        <f t="shared" ref="BW118" si="636">IF($F118=BW$6,(($D118+$E118)/12),BV118)</f>
        <v>0</v>
      </c>
      <c r="BX118" s="415">
        <f t="shared" ref="BX118" si="637">IF($F118=BX$6,(($D118+$E118)/12),BW118)</f>
        <v>0</v>
      </c>
      <c r="BY118" s="415">
        <f t="shared" ref="BY118" si="638">IF($F118=BY$6,(($D118+$E118)/12),BX118)</f>
        <v>0</v>
      </c>
      <c r="BZ118" s="415">
        <f t="shared" ref="BZ118" si="639">IF($F118=BZ$6,(($D118+$E118)/12),BY118)</f>
        <v>0</v>
      </c>
      <c r="CA118" s="415">
        <f t="shared" ref="CA118" si="640">IF($F118=CA$6,(($D118+$E118)/12),BZ118)</f>
        <v>0</v>
      </c>
      <c r="CB118" s="415">
        <f t="shared" ref="CB118" si="641">IF($F118=CB$6,(($D118+$E118)/12),CA118)</f>
        <v>0</v>
      </c>
      <c r="CC118" s="415">
        <f t="shared" ref="CC118" si="642">IF($F118=CC$6,(($D118+$E118)/12),CB118)</f>
        <v>0</v>
      </c>
      <c r="CD118" s="415">
        <f t="shared" ref="CD118" si="643">IF($F118=CD$6,(($D118+$E118)/12),CC118)</f>
        <v>0</v>
      </c>
      <c r="CE118" s="415">
        <f t="shared" ref="CE118" si="644">IF($F118=CE$6,(($D118+$E118)/12),CD118)</f>
        <v>0</v>
      </c>
      <c r="CF118" s="416">
        <f t="shared" ref="CF118" si="645">SUM(BT118:CE118)</f>
        <v>0</v>
      </c>
    </row>
    <row r="119" spans="1:84">
      <c r="A119" s="408" t="s">
        <v>641</v>
      </c>
      <c r="B119" s="958"/>
      <c r="C119" s="428"/>
      <c r="D119" s="429"/>
      <c r="E119" s="413"/>
      <c r="F119" s="414"/>
      <c r="G119" s="415"/>
      <c r="H119" s="415"/>
      <c r="I119" s="415"/>
      <c r="J119" s="415"/>
      <c r="K119" s="415"/>
      <c r="L119" s="415"/>
      <c r="M119" s="415"/>
      <c r="N119" s="415"/>
      <c r="O119" s="415"/>
      <c r="P119" s="415"/>
      <c r="Q119" s="415"/>
      <c r="R119" s="415"/>
      <c r="S119" s="416"/>
      <c r="T119" s="415"/>
      <c r="U119" s="415"/>
      <c r="V119" s="415"/>
      <c r="W119" s="415"/>
      <c r="X119" s="415"/>
      <c r="Y119" s="415"/>
      <c r="Z119" s="415"/>
      <c r="AA119" s="415"/>
      <c r="AB119" s="415"/>
      <c r="AC119" s="415"/>
      <c r="AD119" s="415"/>
      <c r="AE119" s="415"/>
      <c r="AF119" s="416"/>
      <c r="AG119" s="415"/>
      <c r="AH119" s="415"/>
      <c r="AI119" s="415"/>
      <c r="AJ119" s="415"/>
      <c r="AK119" s="415"/>
      <c r="AL119" s="415"/>
      <c r="AM119" s="415"/>
      <c r="AN119" s="415"/>
      <c r="AO119" s="415"/>
      <c r="AP119" s="415"/>
      <c r="AQ119" s="415"/>
      <c r="AR119" s="415"/>
      <c r="AS119" s="416"/>
      <c r="AT119" s="415"/>
      <c r="AU119" s="415"/>
      <c r="AV119" s="415"/>
      <c r="AW119" s="415"/>
      <c r="AX119" s="415"/>
      <c r="AY119" s="415"/>
      <c r="AZ119" s="415"/>
      <c r="BA119" s="415"/>
      <c r="BB119" s="415"/>
      <c r="BC119" s="415"/>
      <c r="BD119" s="415"/>
      <c r="BE119" s="415"/>
      <c r="BF119" s="416"/>
      <c r="BG119" s="415"/>
      <c r="BH119" s="415"/>
      <c r="BI119" s="415"/>
      <c r="BJ119" s="415"/>
      <c r="BK119" s="415"/>
      <c r="BL119" s="415"/>
      <c r="BM119" s="415"/>
      <c r="BN119" s="415"/>
      <c r="BO119" s="415"/>
      <c r="BP119" s="415"/>
      <c r="BQ119" s="415"/>
      <c r="BR119" s="415"/>
      <c r="BS119" s="416"/>
      <c r="BT119" s="415"/>
      <c r="BU119" s="415"/>
      <c r="BV119" s="415"/>
      <c r="BW119" s="415"/>
      <c r="BX119" s="415"/>
      <c r="BY119" s="415"/>
      <c r="BZ119" s="415"/>
      <c r="CA119" s="415"/>
      <c r="CB119" s="415"/>
      <c r="CC119" s="415"/>
      <c r="CD119" s="415"/>
      <c r="CE119" s="415"/>
      <c r="CF119" s="416"/>
    </row>
    <row r="120" spans="1:84">
      <c r="A120" s="399"/>
      <c r="B120" s="957" t="s">
        <v>905</v>
      </c>
      <c r="C120" s="534" t="s">
        <v>897</v>
      </c>
      <c r="D120" s="423">
        <v>100000</v>
      </c>
      <c r="E120" s="427"/>
      <c r="F120" s="414" t="s">
        <v>50</v>
      </c>
      <c r="G120" s="415">
        <f>IF($F120=$G$6,(D120/12)+(E120/12),0)</f>
        <v>0</v>
      </c>
      <c r="H120" s="415">
        <f t="shared" ref="H120:H122" si="646">G120</f>
        <v>0</v>
      </c>
      <c r="I120" s="415">
        <f t="shared" ref="I120:I122" si="647">H120</f>
        <v>0</v>
      </c>
      <c r="J120" s="415">
        <f t="shared" ref="J120:J122" si="648">I120</f>
        <v>0</v>
      </c>
      <c r="K120" s="415">
        <f t="shared" ref="K120:K122" si="649">J120</f>
        <v>0</v>
      </c>
      <c r="L120" s="415">
        <f t="shared" ref="L120:L122" si="650">K120</f>
        <v>0</v>
      </c>
      <c r="M120" s="415">
        <f t="shared" ref="M120:M122" si="651">L120</f>
        <v>0</v>
      </c>
      <c r="N120" s="415">
        <f t="shared" ref="N120:N122" si="652">M120</f>
        <v>0</v>
      </c>
      <c r="O120" s="415">
        <f t="shared" ref="O120:O122" si="653">N120</f>
        <v>0</v>
      </c>
      <c r="P120" s="415">
        <f t="shared" ref="P120:P122" si="654">O120</f>
        <v>0</v>
      </c>
      <c r="Q120" s="415">
        <f t="shared" ref="Q120:Q122" si="655">P120</f>
        <v>0</v>
      </c>
      <c r="R120" s="415">
        <f t="shared" ref="R120:R122" si="656">Q120</f>
        <v>0</v>
      </c>
      <c r="S120" s="416">
        <f t="shared" ref="S120:S122" si="657">SUM(G120:R120)</f>
        <v>0</v>
      </c>
      <c r="T120" s="415">
        <f t="shared" ref="T120:T122" si="658">IF($F120=T$6,(($D120+$E120)*(1+$T$8))/12,R120*(1+T$8))</f>
        <v>0</v>
      </c>
      <c r="U120" s="415">
        <f t="shared" ref="U120:U122" si="659">IF($F120=U$6,(($D120+$E120)/12),T120)</f>
        <v>8333.3333333333339</v>
      </c>
      <c r="V120" s="415">
        <f t="shared" ref="V120" si="660">IF($F120=V$6,(($D120+$E120)/12),U120)</f>
        <v>8333.3333333333339</v>
      </c>
      <c r="W120" s="415">
        <f t="shared" ref="W120" si="661">IF($F120=W$6,(($D120+$E120)/12),V120)</f>
        <v>8333.3333333333339</v>
      </c>
      <c r="X120" s="415">
        <f t="shared" ref="X120:Y120" si="662">IF($F120=X$6,(($D120+$E120)/12),W120)</f>
        <v>8333.3333333333339</v>
      </c>
      <c r="Y120" s="415">
        <f t="shared" si="662"/>
        <v>8333.3333333333339</v>
      </c>
      <c r="Z120" s="415">
        <f t="shared" ref="Z120:AA122" si="663">IF($F120=Z$6,(($D120+$E120)/12),Y120)</f>
        <v>8333.3333333333339</v>
      </c>
      <c r="AA120" s="415">
        <f t="shared" si="663"/>
        <v>8333.3333333333339</v>
      </c>
      <c r="AB120" s="415">
        <f t="shared" ref="AB120:AB122" si="664">IF($F120=AB$6,(($D120+$E120)/12),AA120)</f>
        <v>8333.3333333333339</v>
      </c>
      <c r="AC120" s="415">
        <f t="shared" ref="AC120:AC122" si="665">IF($F120=AC$6,(($D120+$E120)/12),AB120)</f>
        <v>8333.3333333333339</v>
      </c>
      <c r="AD120" s="415">
        <f t="shared" ref="AD120:AD122" si="666">IF($F120=AD$6,(($D120+$E120)/12),AC120)</f>
        <v>8333.3333333333339</v>
      </c>
      <c r="AE120" s="415">
        <f t="shared" ref="AE120:AE122" si="667">IF($F120=AE$6,(($D120+$E120)/12),AD120)</f>
        <v>8333.3333333333339</v>
      </c>
      <c r="AF120" s="416">
        <f t="shared" ref="AF120:AF122" si="668">SUM(T120:AE120)</f>
        <v>91666.666666666657</v>
      </c>
      <c r="AG120" s="415">
        <f>AE120</f>
        <v>8333.3333333333339</v>
      </c>
      <c r="AH120" s="415">
        <f t="shared" ref="AH120:AH122" si="669">IF($F120=AH$6,(($D120+$E120)/12),AG120)</f>
        <v>8333.3333333333339</v>
      </c>
      <c r="AI120" s="415">
        <f t="shared" ref="AI120:AI122" si="670">IF($F120=AI$6,(($D120+$E120)/12),AH120)</f>
        <v>8333.3333333333339</v>
      </c>
      <c r="AJ120" s="415">
        <f t="shared" ref="AJ120:AJ122" si="671">IF($F120=AJ$6,(($D120+$E120)/12),AI120)</f>
        <v>8333.3333333333339</v>
      </c>
      <c r="AK120" s="415">
        <f t="shared" ref="AK120:AK122" si="672">IF($F120=AK$6,(($D120+$E120)/12),AJ120)</f>
        <v>8333.3333333333339</v>
      </c>
      <c r="AL120" s="415">
        <f t="shared" ref="AL120:AL122" si="673">IF($F120=AL$6,(($D120+$E120)/12),AK120)</f>
        <v>8333.3333333333339</v>
      </c>
      <c r="AM120" s="415">
        <v>0</v>
      </c>
      <c r="AN120" s="415">
        <f t="shared" ref="AN120:AN122" si="674">IF($F120=AN$6,(($D120+$E120)/12),AM120)</f>
        <v>0</v>
      </c>
      <c r="AO120" s="415">
        <f t="shared" ref="AO120:AO122" si="675">IF($F120=AO$6,(($D120+$E120)/12),AN120)</f>
        <v>0</v>
      </c>
      <c r="AP120" s="415">
        <f t="shared" ref="AP120:AP122" si="676">IF($F120=AP$6,(($D120+$E120)/12),AO120)</f>
        <v>0</v>
      </c>
      <c r="AQ120" s="415">
        <f t="shared" ref="AQ120:AQ122" si="677">IF($F120=AQ$6,(($D120+$E120)/12),AP120)</f>
        <v>0</v>
      </c>
      <c r="AR120" s="415">
        <f t="shared" ref="AR120:AR122" si="678">IF($F120=AR$6,(($D120+$E120)/12),AQ120)</f>
        <v>0</v>
      </c>
      <c r="AS120" s="416">
        <f t="shared" ref="AS120:AS122" si="679">SUM(AG120:AR120)</f>
        <v>50000.000000000007</v>
      </c>
      <c r="AT120" s="415">
        <f t="shared" ref="AT120:AT122" si="680">IF($F120=AT$6,($D120+$E120)/12,AR120*(1+AT$8))</f>
        <v>0</v>
      </c>
      <c r="AU120" s="415">
        <f t="shared" ref="AU120:AU122" si="681">IF($F120=AU$6,(($D120+$E120)/12),AT120)</f>
        <v>0</v>
      </c>
      <c r="AV120" s="415">
        <f t="shared" ref="AV120:AV122" si="682">IF($F120=AV$6,(($D120+$E120)/12),AU120)</f>
        <v>0</v>
      </c>
      <c r="AW120" s="415">
        <f t="shared" ref="AW120:AW122" si="683">IF($F120=AW$6,(($D120+$E120)/12),AV120)</f>
        <v>0</v>
      </c>
      <c r="AX120" s="415">
        <f t="shared" ref="AX120:AX122" si="684">IF($F120=AX$6,(($D120+$E120)/12),AW120)</f>
        <v>0</v>
      </c>
      <c r="AY120" s="415">
        <f t="shared" ref="AY120:AY122" si="685">IF($F120=AY$6,(($D120+$E120)/12),AX120)</f>
        <v>0</v>
      </c>
      <c r="AZ120" s="415">
        <f t="shared" ref="AZ120:AZ122" si="686">IF($F120=AZ$6,(($D120+$E120)/12),AY120)</f>
        <v>0</v>
      </c>
      <c r="BA120" s="415">
        <f t="shared" ref="BA120:BA122" si="687">IF($F120=BA$6,(($D120+$E120)/12),AZ120)</f>
        <v>0</v>
      </c>
      <c r="BB120" s="415">
        <f t="shared" ref="BB120:BB122" si="688">IF($F120=BB$6,(($D120+$E120)/12),BA120)</f>
        <v>0</v>
      </c>
      <c r="BC120" s="415">
        <f t="shared" ref="BC120:BC122" si="689">IF($F120=BC$6,(($D120+$E120)/12),BB120)</f>
        <v>0</v>
      </c>
      <c r="BD120" s="415">
        <f t="shared" ref="BD120:BD122" si="690">IF($F120=BD$6,(($D120+$E120)/12),BC120)</f>
        <v>0</v>
      </c>
      <c r="BE120" s="415">
        <f t="shared" ref="BE120:BE122" si="691">IF($F120=BE$6,(($D120+$E120)/12),BD120)</f>
        <v>0</v>
      </c>
      <c r="BF120" s="416">
        <f t="shared" ref="BF120:BF122" si="692">SUM(AT120:BE120)</f>
        <v>0</v>
      </c>
      <c r="BG120" s="415">
        <f t="shared" ref="BG120:BG122" si="693">IF($F120=BG$6,($D120+$E120)/12,BE120*(1+BG$8))</f>
        <v>0</v>
      </c>
      <c r="BH120" s="415">
        <f t="shared" ref="BH120:BH122" si="694">IF($F120=BH$6,(($D120+$E120)/12),BG120)</f>
        <v>0</v>
      </c>
      <c r="BI120" s="415">
        <f t="shared" ref="BI120:BI122" si="695">IF($F120=BI$6,(($D120+$E120)/12),BH120)</f>
        <v>0</v>
      </c>
      <c r="BJ120" s="415">
        <f t="shared" ref="BJ120:BJ122" si="696">IF($F120=BJ$6,(($D120+$E120)/12),BI120)</f>
        <v>0</v>
      </c>
      <c r="BK120" s="415">
        <f t="shared" ref="BK120:BK122" si="697">IF($F120=BK$6,(($D120+$E120)/12),BJ120)</f>
        <v>0</v>
      </c>
      <c r="BL120" s="415">
        <f t="shared" ref="BL120:BL122" si="698">IF($F120=BL$6,(($D120+$E120)/12),BK120)</f>
        <v>0</v>
      </c>
      <c r="BM120" s="415">
        <f t="shared" ref="BM120:BM122" si="699">IF($F120=BM$6,(($D120+$E120)/12),BL120)</f>
        <v>0</v>
      </c>
      <c r="BN120" s="415">
        <f t="shared" ref="BN120:BN122" si="700">IF($F120=BN$6,(($D120+$E120)/12),BM120)</f>
        <v>0</v>
      </c>
      <c r="BO120" s="415">
        <f t="shared" ref="BO120:BO122" si="701">IF($F120=BO$6,(($D120+$E120)/12),BN120)</f>
        <v>0</v>
      </c>
      <c r="BP120" s="415">
        <f t="shared" ref="BP120:BP122" si="702">IF($F120=BP$6,(($D120+$E120)/12),BO120)</f>
        <v>0</v>
      </c>
      <c r="BQ120" s="415">
        <f t="shared" ref="BQ120:BQ122" si="703">IF($F120=BQ$6,(($D120+$E120)/12),BP120)</f>
        <v>0</v>
      </c>
      <c r="BR120" s="415">
        <f t="shared" ref="BR120:BR122" si="704">IF($F120=BR$6,(($D120+$E120)/12),BQ120)</f>
        <v>0</v>
      </c>
      <c r="BS120" s="416">
        <f t="shared" ref="BS120:BS122" si="705">SUM(BG120:BR120)</f>
        <v>0</v>
      </c>
      <c r="BT120" s="415">
        <f t="shared" ref="BT120:BT122" si="706">IF($F120=BT$6,($D120+$E120)/12,BR120*(1+BT$8))</f>
        <v>0</v>
      </c>
      <c r="BU120" s="415">
        <f t="shared" ref="BU120:BU122" si="707">IF($F120=BU$6,(($D120+$E120)/12),BT120)</f>
        <v>0</v>
      </c>
      <c r="BV120" s="415">
        <f t="shared" ref="BV120:BV122" si="708">IF($F120=BV$6,(($D120+$E120)/12),BU120)</f>
        <v>0</v>
      </c>
      <c r="BW120" s="415">
        <f t="shared" ref="BW120:BW122" si="709">IF($F120=BW$6,(($D120+$E120)/12),BV120)</f>
        <v>0</v>
      </c>
      <c r="BX120" s="415">
        <f t="shared" ref="BX120:BX122" si="710">IF($F120=BX$6,(($D120+$E120)/12),BW120)</f>
        <v>0</v>
      </c>
      <c r="BY120" s="415">
        <f t="shared" ref="BY120:BY122" si="711">IF($F120=BY$6,(($D120+$E120)/12),BX120)</f>
        <v>0</v>
      </c>
      <c r="BZ120" s="415">
        <f t="shared" ref="BZ120:BZ122" si="712">IF($F120=BZ$6,(($D120+$E120)/12),BY120)</f>
        <v>0</v>
      </c>
      <c r="CA120" s="415">
        <f t="shared" ref="CA120:CA122" si="713">IF($F120=CA$6,(($D120+$E120)/12),BZ120)</f>
        <v>0</v>
      </c>
      <c r="CB120" s="415">
        <f t="shared" ref="CB120:CB122" si="714">IF($F120=CB$6,(($D120+$E120)/12),CA120)</f>
        <v>0</v>
      </c>
      <c r="CC120" s="415">
        <f t="shared" ref="CC120:CC122" si="715">IF($F120=CC$6,(($D120+$E120)/12),CB120)</f>
        <v>0</v>
      </c>
      <c r="CD120" s="415">
        <f t="shared" ref="CD120:CD122" si="716">IF($F120=CD$6,(($D120+$E120)/12),CC120)</f>
        <v>0</v>
      </c>
      <c r="CE120" s="415">
        <f t="shared" ref="CE120:CE122" si="717">IF($F120=CE$6,(($D120+$E120)/12),CD120)</f>
        <v>0</v>
      </c>
      <c r="CF120" s="416">
        <f t="shared" ref="CF120:CF122" si="718">SUM(BT120:CE120)</f>
        <v>0</v>
      </c>
    </row>
    <row r="121" spans="1:84">
      <c r="A121" s="399"/>
      <c r="B121" s="957" t="s">
        <v>903</v>
      </c>
      <c r="C121" s="420" t="s">
        <v>643</v>
      </c>
      <c r="D121" s="423">
        <v>62000</v>
      </c>
      <c r="E121" s="427"/>
      <c r="F121" s="414" t="s">
        <v>50</v>
      </c>
      <c r="G121" s="415">
        <f t="shared" ref="G121" si="719">IF($F121=$G$6,(D121/12)+(E121/12),0)</f>
        <v>0</v>
      </c>
      <c r="H121" s="415">
        <f t="shared" ref="H121" si="720">G121</f>
        <v>0</v>
      </c>
      <c r="I121" s="415">
        <f t="shared" ref="I121" si="721">H121</f>
        <v>0</v>
      </c>
      <c r="J121" s="415">
        <f t="shared" ref="J121" si="722">I121</f>
        <v>0</v>
      </c>
      <c r="K121" s="415">
        <f t="shared" ref="K121" si="723">J121</f>
        <v>0</v>
      </c>
      <c r="L121" s="415">
        <f t="shared" ref="L121" si="724">K121</f>
        <v>0</v>
      </c>
      <c r="M121" s="415">
        <f t="shared" ref="M121" si="725">L121</f>
        <v>0</v>
      </c>
      <c r="N121" s="415">
        <f t="shared" ref="N121" si="726">M121</f>
        <v>0</v>
      </c>
      <c r="O121" s="415">
        <f t="shared" ref="O121" si="727">N121</f>
        <v>0</v>
      </c>
      <c r="P121" s="415">
        <f t="shared" ref="P121" si="728">O121</f>
        <v>0</v>
      </c>
      <c r="Q121" s="415">
        <f t="shared" ref="Q121" si="729">P121</f>
        <v>0</v>
      </c>
      <c r="R121" s="415">
        <f t="shared" ref="R121" si="730">Q121</f>
        <v>0</v>
      </c>
      <c r="S121" s="416">
        <f t="shared" ref="S121" si="731">SUM(G121:R121)</f>
        <v>0</v>
      </c>
      <c r="T121" s="415">
        <f t="shared" ref="T121" si="732">IF($F121=T$6,(($D121+$E121)*(1+$T$8))/12,R121*(1+T$8))</f>
        <v>0</v>
      </c>
      <c r="U121" s="415">
        <f t="shared" ref="U121" si="733">IF($F121=U$6,(($D121+$E121)/12),T121)</f>
        <v>5166.666666666667</v>
      </c>
      <c r="V121" s="415">
        <f t="shared" ref="V121" si="734">IF($F121=V$6,(($D121+$E121)/12),U121)</f>
        <v>5166.666666666667</v>
      </c>
      <c r="W121" s="415">
        <f t="shared" ref="W121" si="735">IF($F121=W$6,(($D121+$E121)/12),V121)</f>
        <v>5166.666666666667</v>
      </c>
      <c r="X121" s="415">
        <f t="shared" ref="X121:Y121" si="736">IF($F121=X$6,(($D121+$E121)/12),W121)</f>
        <v>5166.666666666667</v>
      </c>
      <c r="Y121" s="415">
        <f t="shared" si="736"/>
        <v>5166.666666666667</v>
      </c>
      <c r="Z121" s="415">
        <f t="shared" ref="Z121" si="737">IF($F121=Z$6,(($D121+$E121)/12),Y121)</f>
        <v>5166.666666666667</v>
      </c>
      <c r="AA121" s="415">
        <f t="shared" ref="AA121" si="738">IF($F121=AA$6,(($D121+$E121)/12),Z121)</f>
        <v>5166.666666666667</v>
      </c>
      <c r="AB121" s="415">
        <f t="shared" ref="AB121" si="739">IF($F121=AB$6,(($D121+$E121)/12),AA121)</f>
        <v>5166.666666666667</v>
      </c>
      <c r="AC121" s="415">
        <f t="shared" ref="AC121" si="740">IF($F121=AC$6,(($D121+$E121)/12),AB121)</f>
        <v>5166.666666666667</v>
      </c>
      <c r="AD121" s="415">
        <f t="shared" ref="AD121" si="741">IF($F121=AD$6,(($D121+$E121)/12),AC121)</f>
        <v>5166.666666666667</v>
      </c>
      <c r="AE121" s="415">
        <f t="shared" ref="AE121" si="742">IF($F121=AE$6,(($D121+$E121)/12),AD121)</f>
        <v>5166.666666666667</v>
      </c>
      <c r="AF121" s="416">
        <f t="shared" ref="AF121" si="743">SUM(T121:AE121)</f>
        <v>56833.333333333328</v>
      </c>
      <c r="AG121" s="415">
        <f t="shared" ref="AG121" si="744">IF($F121=AG$6,($D121+$E121)/12,AE121*(1+AG$8))</f>
        <v>5373.3333333333339</v>
      </c>
      <c r="AH121" s="415">
        <f t="shared" ref="AH121" si="745">IF($F121=AH$6,(($D121+$E121)/12),AG121)</f>
        <v>5373.3333333333339</v>
      </c>
      <c r="AI121" s="415">
        <f t="shared" ref="AI121" si="746">IF($F121=AI$6,(($D121+$E121)/12),AH121)</f>
        <v>5373.3333333333339</v>
      </c>
      <c r="AJ121" s="415">
        <f t="shared" ref="AJ121" si="747">IF($F121=AJ$6,(($D121+$E121)/12),AI121)</f>
        <v>5373.3333333333339</v>
      </c>
      <c r="AK121" s="415">
        <f t="shared" ref="AK121" si="748">IF($F121=AK$6,(($D121+$E121)/12),AJ121)</f>
        <v>5373.3333333333339</v>
      </c>
      <c r="AL121" s="415">
        <f t="shared" ref="AL121" si="749">IF($F121=AL$6,(($D121+$E121)/12),AK121)</f>
        <v>5373.3333333333339</v>
      </c>
      <c r="AM121" s="415">
        <f t="shared" ref="AM121" si="750">IF($F121=AM$6,(($D121+$E121)/12),AL121)</f>
        <v>5373.3333333333339</v>
      </c>
      <c r="AN121" s="415">
        <f t="shared" ref="AN121" si="751">IF($F121=AN$6,(($D121+$E121)/12),AM121)</f>
        <v>5373.3333333333339</v>
      </c>
      <c r="AO121" s="415">
        <f t="shared" ref="AO121" si="752">IF($F121=AO$6,(($D121+$E121)/12),AN121)</f>
        <v>5373.3333333333339</v>
      </c>
      <c r="AP121" s="415">
        <f t="shared" ref="AP121" si="753">IF($F121=AP$6,(($D121+$E121)/12),AO121)</f>
        <v>5373.3333333333339</v>
      </c>
      <c r="AQ121" s="415">
        <f t="shared" ref="AQ121" si="754">IF($F121=AQ$6,(($D121+$E121)/12),AP121)</f>
        <v>5373.3333333333339</v>
      </c>
      <c r="AR121" s="415">
        <f t="shared" ref="AR121" si="755">IF($F121=AR$6,(($D121+$E121)/12),AQ121)</f>
        <v>5373.3333333333339</v>
      </c>
      <c r="AS121" s="416">
        <f t="shared" ref="AS121" si="756">SUM(AG121:AR121)</f>
        <v>64480.000000000022</v>
      </c>
      <c r="AT121" s="415">
        <f t="shared" ref="AT121" si="757">IF($F121=AT$6,($D121+$E121)/12,AR121*(1+AT$8))</f>
        <v>5588.2666666666673</v>
      </c>
      <c r="AU121" s="415">
        <f t="shared" ref="AU121" si="758">IF($F121=AU$6,(($D121+$E121)/12),AT121)</f>
        <v>5588.2666666666673</v>
      </c>
      <c r="AV121" s="415">
        <f t="shared" ref="AV121" si="759">IF($F121=AV$6,(($D121+$E121)/12),AU121)</f>
        <v>5588.2666666666673</v>
      </c>
      <c r="AW121" s="415">
        <f t="shared" ref="AW121" si="760">IF($F121=AW$6,(($D121+$E121)/12),AV121)</f>
        <v>5588.2666666666673</v>
      </c>
      <c r="AX121" s="415">
        <f t="shared" ref="AX121" si="761">IF($F121=AX$6,(($D121+$E121)/12),AW121)</f>
        <v>5588.2666666666673</v>
      </c>
      <c r="AY121" s="415">
        <f t="shared" ref="AY121" si="762">IF($F121=AY$6,(($D121+$E121)/12),AX121)</f>
        <v>5588.2666666666673</v>
      </c>
      <c r="AZ121" s="415">
        <f t="shared" ref="AZ121" si="763">IF($F121=AZ$6,(($D121+$E121)/12),AY121)</f>
        <v>5588.2666666666673</v>
      </c>
      <c r="BA121" s="415">
        <f t="shared" ref="BA121" si="764">IF($F121=BA$6,(($D121+$E121)/12),AZ121)</f>
        <v>5588.2666666666673</v>
      </c>
      <c r="BB121" s="415">
        <f t="shared" ref="BB121" si="765">IF($F121=BB$6,(($D121+$E121)/12),BA121)</f>
        <v>5588.2666666666673</v>
      </c>
      <c r="BC121" s="415">
        <f t="shared" ref="BC121" si="766">IF($F121=BC$6,(($D121+$E121)/12),BB121)</f>
        <v>5588.2666666666673</v>
      </c>
      <c r="BD121" s="415">
        <f t="shared" ref="BD121" si="767">IF($F121=BD$6,(($D121+$E121)/12),BC121)</f>
        <v>5588.2666666666673</v>
      </c>
      <c r="BE121" s="415">
        <f t="shared" ref="BE121" si="768">IF($F121=BE$6,(($D121+$E121)/12),BD121)</f>
        <v>5588.2666666666673</v>
      </c>
      <c r="BF121" s="416">
        <f t="shared" ref="BF121" si="769">SUM(AT121:BE121)</f>
        <v>67059.200000000026</v>
      </c>
      <c r="BG121" s="415">
        <f t="shared" ref="BG121" si="770">IF($F121=BG$6,($D121+$E121)/12,BE121*(1+BG$8))</f>
        <v>5811.7973333333339</v>
      </c>
      <c r="BH121" s="415">
        <f t="shared" ref="BH121" si="771">IF($F121=BH$6,(($D121+$E121)/12),BG121)</f>
        <v>5811.7973333333339</v>
      </c>
      <c r="BI121" s="415">
        <f t="shared" ref="BI121" si="772">IF($F121=BI$6,(($D121+$E121)/12),BH121)</f>
        <v>5811.7973333333339</v>
      </c>
      <c r="BJ121" s="415">
        <f t="shared" ref="BJ121" si="773">IF($F121=BJ$6,(($D121+$E121)/12),BI121)</f>
        <v>5811.7973333333339</v>
      </c>
      <c r="BK121" s="415">
        <f t="shared" ref="BK121" si="774">IF($F121=BK$6,(($D121+$E121)/12),BJ121)</f>
        <v>5811.7973333333339</v>
      </c>
      <c r="BL121" s="415">
        <f t="shared" ref="BL121" si="775">IF($F121=BL$6,(($D121+$E121)/12),BK121)</f>
        <v>5811.7973333333339</v>
      </c>
      <c r="BM121" s="415">
        <f t="shared" ref="BM121" si="776">IF($F121=BM$6,(($D121+$E121)/12),BL121)</f>
        <v>5811.7973333333339</v>
      </c>
      <c r="BN121" s="415">
        <f t="shared" ref="BN121" si="777">IF($F121=BN$6,(($D121+$E121)/12),BM121)</f>
        <v>5811.7973333333339</v>
      </c>
      <c r="BO121" s="415">
        <f t="shared" ref="BO121" si="778">IF($F121=BO$6,(($D121+$E121)/12),BN121)</f>
        <v>5811.7973333333339</v>
      </c>
      <c r="BP121" s="415">
        <f t="shared" ref="BP121" si="779">IF($F121=BP$6,(($D121+$E121)/12),BO121)</f>
        <v>5811.7973333333339</v>
      </c>
      <c r="BQ121" s="415">
        <f t="shared" ref="BQ121" si="780">IF($F121=BQ$6,(($D121+$E121)/12),BP121)</f>
        <v>5811.7973333333339</v>
      </c>
      <c r="BR121" s="415">
        <f t="shared" ref="BR121" si="781">IF($F121=BR$6,(($D121+$E121)/12),BQ121)</f>
        <v>5811.7973333333339</v>
      </c>
      <c r="BS121" s="416">
        <f t="shared" ref="BS121" si="782">SUM(BG121:BR121)</f>
        <v>69741.568000000014</v>
      </c>
      <c r="BT121" s="415">
        <f t="shared" ref="BT121" si="783">IF($F121=BT$6,($D121+$E121)/12,BR121*(1+BT$8))</f>
        <v>6044.2692266666672</v>
      </c>
      <c r="BU121" s="415">
        <f t="shared" ref="BU121" si="784">IF($F121=BU$6,(($D121+$E121)/12),BT121)</f>
        <v>6044.2692266666672</v>
      </c>
      <c r="BV121" s="415">
        <f t="shared" ref="BV121" si="785">IF($F121=BV$6,(($D121+$E121)/12),BU121)</f>
        <v>6044.2692266666672</v>
      </c>
      <c r="BW121" s="415">
        <f t="shared" ref="BW121" si="786">IF($F121=BW$6,(($D121+$E121)/12),BV121)</f>
        <v>6044.2692266666672</v>
      </c>
      <c r="BX121" s="415">
        <f t="shared" ref="BX121" si="787">IF($F121=BX$6,(($D121+$E121)/12),BW121)</f>
        <v>6044.2692266666672</v>
      </c>
      <c r="BY121" s="415">
        <f t="shared" ref="BY121" si="788">IF($F121=BY$6,(($D121+$E121)/12),BX121)</f>
        <v>6044.2692266666672</v>
      </c>
      <c r="BZ121" s="415">
        <f t="shared" ref="BZ121" si="789">IF($F121=BZ$6,(($D121+$E121)/12),BY121)</f>
        <v>6044.2692266666672</v>
      </c>
      <c r="CA121" s="415">
        <f t="shared" ref="CA121" si="790">IF($F121=CA$6,(($D121+$E121)/12),BZ121)</f>
        <v>6044.2692266666672</v>
      </c>
      <c r="CB121" s="415">
        <f t="shared" ref="CB121" si="791">IF($F121=CB$6,(($D121+$E121)/12),CA121)</f>
        <v>6044.2692266666672</v>
      </c>
      <c r="CC121" s="415">
        <f t="shared" ref="CC121" si="792">IF($F121=CC$6,(($D121+$E121)/12),CB121)</f>
        <v>6044.2692266666672</v>
      </c>
      <c r="CD121" s="415">
        <f t="shared" ref="CD121" si="793">IF($F121=CD$6,(($D121+$E121)/12),CC121)</f>
        <v>6044.2692266666672</v>
      </c>
      <c r="CE121" s="415">
        <f t="shared" ref="CE121" si="794">IF($F121=CE$6,(($D121+$E121)/12),CD121)</f>
        <v>6044.2692266666672</v>
      </c>
      <c r="CF121" s="416">
        <f t="shared" ref="CF121" si="795">SUM(BT121:CE121)</f>
        <v>72531.230720000021</v>
      </c>
    </row>
    <row r="122" spans="1:84">
      <c r="A122" s="399"/>
      <c r="B122" s="956" t="s">
        <v>905</v>
      </c>
      <c r="C122" s="420" t="s">
        <v>643</v>
      </c>
      <c r="D122" s="423">
        <v>100000</v>
      </c>
      <c r="E122" s="427"/>
      <c r="F122" s="414" t="s">
        <v>51</v>
      </c>
      <c r="G122" s="415">
        <f t="shared" ref="G122" si="796">IF($F122=$G$6,(D122/12)+(E122/12),0)</f>
        <v>0</v>
      </c>
      <c r="H122" s="415">
        <f t="shared" si="646"/>
        <v>0</v>
      </c>
      <c r="I122" s="415">
        <f t="shared" si="647"/>
        <v>0</v>
      </c>
      <c r="J122" s="415">
        <f t="shared" si="648"/>
        <v>0</v>
      </c>
      <c r="K122" s="415">
        <f t="shared" si="649"/>
        <v>0</v>
      </c>
      <c r="L122" s="415">
        <f t="shared" si="650"/>
        <v>0</v>
      </c>
      <c r="M122" s="415">
        <f t="shared" si="651"/>
        <v>0</v>
      </c>
      <c r="N122" s="415">
        <f t="shared" si="652"/>
        <v>0</v>
      </c>
      <c r="O122" s="415">
        <f t="shared" si="653"/>
        <v>0</v>
      </c>
      <c r="P122" s="415">
        <f t="shared" si="654"/>
        <v>0</v>
      </c>
      <c r="Q122" s="415">
        <f t="shared" si="655"/>
        <v>0</v>
      </c>
      <c r="R122" s="415">
        <f t="shared" si="656"/>
        <v>0</v>
      </c>
      <c r="S122" s="416">
        <f t="shared" si="657"/>
        <v>0</v>
      </c>
      <c r="T122" s="415">
        <f t="shared" si="658"/>
        <v>0</v>
      </c>
      <c r="U122" s="415">
        <f t="shared" si="659"/>
        <v>0</v>
      </c>
      <c r="V122" s="415">
        <v>0</v>
      </c>
      <c r="W122" s="415">
        <v>6326</v>
      </c>
      <c r="X122" s="415">
        <v>0</v>
      </c>
      <c r="Y122" s="415">
        <v>0</v>
      </c>
      <c r="Z122" s="415">
        <f t="shared" si="663"/>
        <v>0</v>
      </c>
      <c r="AA122" s="415">
        <f t="shared" si="663"/>
        <v>0</v>
      </c>
      <c r="AB122" s="415">
        <f t="shared" si="664"/>
        <v>0</v>
      </c>
      <c r="AC122" s="415">
        <f t="shared" si="665"/>
        <v>0</v>
      </c>
      <c r="AD122" s="415">
        <f t="shared" si="666"/>
        <v>0</v>
      </c>
      <c r="AE122" s="415">
        <f t="shared" si="667"/>
        <v>0</v>
      </c>
      <c r="AF122" s="416">
        <f t="shared" si="668"/>
        <v>6326</v>
      </c>
      <c r="AG122" s="415">
        <f t="shared" ref="AG122" si="797">IF($F122=AG$6,($D122+$E122)/12,AE122*(1+AG$8))</f>
        <v>0</v>
      </c>
      <c r="AH122" s="415">
        <f t="shared" si="669"/>
        <v>0</v>
      </c>
      <c r="AI122" s="415">
        <f t="shared" si="670"/>
        <v>0</v>
      </c>
      <c r="AJ122" s="415">
        <f t="shared" si="671"/>
        <v>0</v>
      </c>
      <c r="AK122" s="415">
        <f t="shared" si="672"/>
        <v>0</v>
      </c>
      <c r="AL122" s="415">
        <f t="shared" si="673"/>
        <v>0</v>
      </c>
      <c r="AM122" s="415">
        <f t="shared" ref="AM122" si="798">IF($F122=AM$6,(($D122+$E122)/12),AL122)</f>
        <v>0</v>
      </c>
      <c r="AN122" s="415">
        <f t="shared" si="674"/>
        <v>0</v>
      </c>
      <c r="AO122" s="415">
        <f t="shared" si="675"/>
        <v>0</v>
      </c>
      <c r="AP122" s="415">
        <f t="shared" si="676"/>
        <v>0</v>
      </c>
      <c r="AQ122" s="415">
        <f t="shared" si="677"/>
        <v>0</v>
      </c>
      <c r="AR122" s="415">
        <f t="shared" si="678"/>
        <v>0</v>
      </c>
      <c r="AS122" s="416">
        <f t="shared" si="679"/>
        <v>0</v>
      </c>
      <c r="AT122" s="415">
        <f t="shared" si="680"/>
        <v>0</v>
      </c>
      <c r="AU122" s="415">
        <f t="shared" si="681"/>
        <v>0</v>
      </c>
      <c r="AV122" s="415">
        <f t="shared" si="682"/>
        <v>0</v>
      </c>
      <c r="AW122" s="415">
        <f t="shared" si="683"/>
        <v>0</v>
      </c>
      <c r="AX122" s="415">
        <f t="shared" si="684"/>
        <v>0</v>
      </c>
      <c r="AY122" s="415">
        <f t="shared" si="685"/>
        <v>0</v>
      </c>
      <c r="AZ122" s="415">
        <f t="shared" si="686"/>
        <v>0</v>
      </c>
      <c r="BA122" s="415">
        <f t="shared" si="687"/>
        <v>0</v>
      </c>
      <c r="BB122" s="415">
        <f t="shared" si="688"/>
        <v>0</v>
      </c>
      <c r="BC122" s="415">
        <f t="shared" si="689"/>
        <v>0</v>
      </c>
      <c r="BD122" s="415">
        <f t="shared" si="690"/>
        <v>0</v>
      </c>
      <c r="BE122" s="415">
        <f t="shared" si="691"/>
        <v>0</v>
      </c>
      <c r="BF122" s="416">
        <f t="shared" si="692"/>
        <v>0</v>
      </c>
      <c r="BG122" s="415">
        <f t="shared" si="693"/>
        <v>0</v>
      </c>
      <c r="BH122" s="415">
        <f t="shared" si="694"/>
        <v>0</v>
      </c>
      <c r="BI122" s="415">
        <f t="shared" si="695"/>
        <v>0</v>
      </c>
      <c r="BJ122" s="415">
        <f t="shared" si="696"/>
        <v>0</v>
      </c>
      <c r="BK122" s="415">
        <f t="shared" si="697"/>
        <v>0</v>
      </c>
      <c r="BL122" s="415">
        <f t="shared" si="698"/>
        <v>0</v>
      </c>
      <c r="BM122" s="415">
        <f t="shared" si="699"/>
        <v>0</v>
      </c>
      <c r="BN122" s="415">
        <f t="shared" si="700"/>
        <v>0</v>
      </c>
      <c r="BO122" s="415">
        <f t="shared" si="701"/>
        <v>0</v>
      </c>
      <c r="BP122" s="415">
        <f t="shared" si="702"/>
        <v>0</v>
      </c>
      <c r="BQ122" s="415">
        <f t="shared" si="703"/>
        <v>0</v>
      </c>
      <c r="BR122" s="415">
        <f t="shared" si="704"/>
        <v>0</v>
      </c>
      <c r="BS122" s="416">
        <f t="shared" si="705"/>
        <v>0</v>
      </c>
      <c r="BT122" s="415">
        <f t="shared" si="706"/>
        <v>0</v>
      </c>
      <c r="BU122" s="415">
        <f t="shared" si="707"/>
        <v>0</v>
      </c>
      <c r="BV122" s="415">
        <f t="shared" si="708"/>
        <v>0</v>
      </c>
      <c r="BW122" s="415">
        <f t="shared" si="709"/>
        <v>0</v>
      </c>
      <c r="BX122" s="415">
        <f t="shared" si="710"/>
        <v>0</v>
      </c>
      <c r="BY122" s="415">
        <f t="shared" si="711"/>
        <v>0</v>
      </c>
      <c r="BZ122" s="415">
        <f t="shared" si="712"/>
        <v>0</v>
      </c>
      <c r="CA122" s="415">
        <f t="shared" si="713"/>
        <v>0</v>
      </c>
      <c r="CB122" s="415">
        <f t="shared" si="714"/>
        <v>0</v>
      </c>
      <c r="CC122" s="415">
        <f t="shared" si="715"/>
        <v>0</v>
      </c>
      <c r="CD122" s="415">
        <f t="shared" si="716"/>
        <v>0</v>
      </c>
      <c r="CE122" s="415">
        <f t="shared" si="717"/>
        <v>0</v>
      </c>
      <c r="CF122" s="416">
        <f t="shared" si="718"/>
        <v>0</v>
      </c>
    </row>
    <row r="123" spans="1:84">
      <c r="A123" s="399"/>
      <c r="B123" s="956" t="s">
        <v>910</v>
      </c>
      <c r="C123" s="534" t="s">
        <v>916</v>
      </c>
      <c r="D123" s="423"/>
      <c r="E123" s="427"/>
      <c r="F123" s="414"/>
      <c r="G123" s="415">
        <f t="shared" ref="G123:G124" si="799">IF($F123=$G$6,(D123/12)+(E123/12),0)</f>
        <v>0</v>
      </c>
      <c r="H123" s="415">
        <f t="shared" ref="H123:H124" si="800">G123</f>
        <v>0</v>
      </c>
      <c r="I123" s="415">
        <f t="shared" ref="I123:I124" si="801">H123</f>
        <v>0</v>
      </c>
      <c r="J123" s="415">
        <f t="shared" ref="J123:J124" si="802">I123</f>
        <v>0</v>
      </c>
      <c r="K123" s="415">
        <f t="shared" ref="K123:K124" si="803">J123</f>
        <v>0</v>
      </c>
      <c r="L123" s="415">
        <f t="shared" ref="L123:L124" si="804">K123</f>
        <v>0</v>
      </c>
      <c r="M123" s="415">
        <f t="shared" ref="M123:M124" si="805">L123</f>
        <v>0</v>
      </c>
      <c r="N123" s="415">
        <f t="shared" ref="N123:N124" si="806">M123</f>
        <v>0</v>
      </c>
      <c r="O123" s="415">
        <f t="shared" ref="O123:O124" si="807">N123</f>
        <v>0</v>
      </c>
      <c r="P123" s="415">
        <f t="shared" ref="P123:P124" si="808">O123</f>
        <v>0</v>
      </c>
      <c r="Q123" s="415">
        <f t="shared" ref="Q123:Q124" si="809">P123</f>
        <v>0</v>
      </c>
      <c r="R123" s="415">
        <f t="shared" ref="R123:R124" si="810">Q123</f>
        <v>0</v>
      </c>
      <c r="S123" s="416">
        <f t="shared" ref="S123:S124" si="811">SUM(G123:R123)</f>
        <v>0</v>
      </c>
      <c r="T123" s="415">
        <f t="shared" ref="T123:T124" si="812">IF($F123=T$6,(($D123+$E123)*(1+$T$8))/12,R123*(1+T$8))</f>
        <v>0</v>
      </c>
      <c r="U123" s="415">
        <f t="shared" ref="U123:U124" si="813">IF($F123=U$6,(($D123+$E123)/12),T123)</f>
        <v>0</v>
      </c>
      <c r="V123" s="415">
        <f t="shared" ref="V123:V124" si="814">IF($F123=V$6,(($D123+$E123)/12),U123)</f>
        <v>0</v>
      </c>
      <c r="W123" s="415">
        <v>25000</v>
      </c>
      <c r="X123" s="415">
        <f>28500</f>
        <v>28500</v>
      </c>
      <c r="Y123" s="415">
        <v>0</v>
      </c>
      <c r="Z123" s="415">
        <v>28500</v>
      </c>
      <c r="AA123" s="415">
        <v>0</v>
      </c>
      <c r="AB123" s="415">
        <f t="shared" ref="AB123:AB124" si="815">IF($F123=AB$6,(($D123+$E123)/12),AA123)</f>
        <v>0</v>
      </c>
      <c r="AC123" s="415">
        <f t="shared" ref="AC123:AC124" si="816">IF($F123=AC$6,(($D123+$E123)/12),AB123)</f>
        <v>0</v>
      </c>
      <c r="AD123" s="415">
        <f t="shared" ref="AD123:AD124" si="817">IF($F123=AD$6,(($D123+$E123)/12),AC123)</f>
        <v>0</v>
      </c>
      <c r="AE123" s="415">
        <f t="shared" ref="AE123:AE124" si="818">IF($F123=AE$6,(($D123+$E123)/12),AD123)</f>
        <v>0</v>
      </c>
      <c r="AF123" s="416">
        <f t="shared" ref="AF123:AF124" si="819">SUM(T123:AE123)</f>
        <v>82000</v>
      </c>
      <c r="AG123" s="415">
        <f t="shared" ref="AG123" si="820">IF($F123=AG$6,($D123+$E123)/12,AE123*(1+AG$8))</f>
        <v>0</v>
      </c>
      <c r="AH123" s="415">
        <f t="shared" ref="AH123:AH124" si="821">IF($F123=AH$6,(($D123+$E123)/12),AG123)</f>
        <v>0</v>
      </c>
      <c r="AI123" s="415">
        <f t="shared" ref="AI123:AI124" si="822">IF($F123=AI$6,(($D123+$E123)/12),AH123)</f>
        <v>0</v>
      </c>
      <c r="AJ123" s="415">
        <f t="shared" ref="AJ123:AJ124" si="823">IF($F123=AJ$6,(($D123+$E123)/12),AI123)</f>
        <v>0</v>
      </c>
      <c r="AK123" s="415">
        <f t="shared" ref="AK123:AK124" si="824">IF($F123=AK$6,(($D123+$E123)/12),AJ123)</f>
        <v>0</v>
      </c>
      <c r="AL123" s="415">
        <f t="shared" ref="AL123:AL124" si="825">IF($F123=AL$6,(($D123+$E123)/12),AK123)</f>
        <v>0</v>
      </c>
      <c r="AM123" s="415">
        <f t="shared" ref="AM123" si="826">IF($F123=AM$6,(($D123+$E123)/12),AL123)</f>
        <v>0</v>
      </c>
      <c r="AN123" s="415">
        <f t="shared" ref="AN123:AN124" si="827">IF($F123=AN$6,(($D123+$E123)/12),AM123)</f>
        <v>0</v>
      </c>
      <c r="AO123" s="415">
        <f t="shared" ref="AO123:AO124" si="828">IF($F123=AO$6,(($D123+$E123)/12),AN123)</f>
        <v>0</v>
      </c>
      <c r="AP123" s="415">
        <f t="shared" ref="AP123:AP124" si="829">IF($F123=AP$6,(($D123+$E123)/12),AO123)</f>
        <v>0</v>
      </c>
      <c r="AQ123" s="415">
        <f t="shared" ref="AQ123:AQ124" si="830">IF($F123=AQ$6,(($D123+$E123)/12),AP123)</f>
        <v>0</v>
      </c>
      <c r="AR123" s="415">
        <f t="shared" ref="AR123:AR124" si="831">IF($F123=AR$6,(($D123+$E123)/12),AQ123)</f>
        <v>0</v>
      </c>
      <c r="AS123" s="416">
        <f t="shared" ref="AS123:AS124" si="832">SUM(AG123:AR123)</f>
        <v>0</v>
      </c>
      <c r="AT123" s="415">
        <f t="shared" ref="AT123:AT124" si="833">IF($F123=AT$6,($D123+$E123)/12,AR123*(1+AT$8))</f>
        <v>0</v>
      </c>
      <c r="AU123" s="415">
        <f t="shared" ref="AU123:AU124" si="834">IF($F123=AU$6,(($D123+$E123)/12),AT123)</f>
        <v>0</v>
      </c>
      <c r="AV123" s="415">
        <f t="shared" ref="AV123:AV124" si="835">IF($F123=AV$6,(($D123+$E123)/12),AU123)</f>
        <v>0</v>
      </c>
      <c r="AW123" s="415">
        <f t="shared" ref="AW123:AW124" si="836">IF($F123=AW$6,(($D123+$E123)/12),AV123)</f>
        <v>0</v>
      </c>
      <c r="AX123" s="415">
        <f t="shared" ref="AX123:AX124" si="837">IF($F123=AX$6,(($D123+$E123)/12),AW123)</f>
        <v>0</v>
      </c>
      <c r="AY123" s="415">
        <f t="shared" ref="AY123:AY124" si="838">IF($F123=AY$6,(($D123+$E123)/12),AX123)</f>
        <v>0</v>
      </c>
      <c r="AZ123" s="415">
        <f t="shared" ref="AZ123:AZ124" si="839">IF($F123=AZ$6,(($D123+$E123)/12),AY123)</f>
        <v>0</v>
      </c>
      <c r="BA123" s="415">
        <f t="shared" ref="BA123:BA124" si="840">IF($F123=BA$6,(($D123+$E123)/12),AZ123)</f>
        <v>0</v>
      </c>
      <c r="BB123" s="415">
        <f t="shared" ref="BB123:BB124" si="841">IF($F123=BB$6,(($D123+$E123)/12),BA123)</f>
        <v>0</v>
      </c>
      <c r="BC123" s="415">
        <f t="shared" ref="BC123:BC124" si="842">IF($F123=BC$6,(($D123+$E123)/12),BB123)</f>
        <v>0</v>
      </c>
      <c r="BD123" s="415">
        <f t="shared" ref="BD123:BD124" si="843">IF($F123=BD$6,(($D123+$E123)/12),BC123)</f>
        <v>0</v>
      </c>
      <c r="BE123" s="415">
        <f t="shared" ref="BE123:BE124" si="844">IF($F123=BE$6,(($D123+$E123)/12),BD123)</f>
        <v>0</v>
      </c>
      <c r="BF123" s="416">
        <f t="shared" ref="BF123:BF124" si="845">SUM(AT123:BE123)</f>
        <v>0</v>
      </c>
      <c r="BG123" s="415">
        <f t="shared" ref="BG123:BG124" si="846">IF($F123=BG$6,($D123+$E123)/12,BE123*(1+BG$8))</f>
        <v>0</v>
      </c>
      <c r="BH123" s="415">
        <f t="shared" ref="BH123:BH124" si="847">IF($F123=BH$6,(($D123+$E123)/12),BG123)</f>
        <v>0</v>
      </c>
      <c r="BI123" s="415">
        <f t="shared" ref="BI123:BI124" si="848">IF($F123=BI$6,(($D123+$E123)/12),BH123)</f>
        <v>0</v>
      </c>
      <c r="BJ123" s="415">
        <f t="shared" ref="BJ123:BJ124" si="849">IF($F123=BJ$6,(($D123+$E123)/12),BI123)</f>
        <v>0</v>
      </c>
      <c r="BK123" s="415">
        <f t="shared" ref="BK123:BK124" si="850">IF($F123=BK$6,(($D123+$E123)/12),BJ123)</f>
        <v>0</v>
      </c>
      <c r="BL123" s="415">
        <f t="shared" ref="BL123:BL124" si="851">IF($F123=BL$6,(($D123+$E123)/12),BK123)</f>
        <v>0</v>
      </c>
      <c r="BM123" s="415">
        <f t="shared" ref="BM123:BM124" si="852">IF($F123=BM$6,(($D123+$E123)/12),BL123)</f>
        <v>0</v>
      </c>
      <c r="BN123" s="415">
        <f t="shared" ref="BN123:BN124" si="853">IF($F123=BN$6,(($D123+$E123)/12),BM123)</f>
        <v>0</v>
      </c>
      <c r="BO123" s="415">
        <f t="shared" ref="BO123:BO124" si="854">IF($F123=BO$6,(($D123+$E123)/12),BN123)</f>
        <v>0</v>
      </c>
      <c r="BP123" s="415">
        <f t="shared" ref="BP123:BP124" si="855">IF($F123=BP$6,(($D123+$E123)/12),BO123)</f>
        <v>0</v>
      </c>
      <c r="BQ123" s="415">
        <f t="shared" ref="BQ123:BQ124" si="856">IF($F123=BQ$6,(($D123+$E123)/12),BP123)</f>
        <v>0</v>
      </c>
      <c r="BR123" s="415">
        <f t="shared" ref="BR123:BR124" si="857">IF($F123=BR$6,(($D123+$E123)/12),BQ123)</f>
        <v>0</v>
      </c>
      <c r="BS123" s="416">
        <f t="shared" ref="BS123:BS124" si="858">SUM(BG123:BR123)</f>
        <v>0</v>
      </c>
      <c r="BT123" s="415">
        <f t="shared" ref="BT123:BT124" si="859">IF($F123=BT$6,($D123+$E123)/12,BR123*(1+BT$8))</f>
        <v>0</v>
      </c>
      <c r="BU123" s="415">
        <f t="shared" ref="BU123:BU124" si="860">IF($F123=BU$6,(($D123+$E123)/12),BT123)</f>
        <v>0</v>
      </c>
      <c r="BV123" s="415">
        <f t="shared" ref="BV123:BV124" si="861">IF($F123=BV$6,(($D123+$E123)/12),BU123)</f>
        <v>0</v>
      </c>
      <c r="BW123" s="415">
        <f t="shared" ref="BW123:BW124" si="862">IF($F123=BW$6,(($D123+$E123)/12),BV123)</f>
        <v>0</v>
      </c>
      <c r="BX123" s="415">
        <f t="shared" ref="BX123:BX124" si="863">IF($F123=BX$6,(($D123+$E123)/12),BW123)</f>
        <v>0</v>
      </c>
      <c r="BY123" s="415">
        <f t="shared" ref="BY123:BY124" si="864">IF($F123=BY$6,(($D123+$E123)/12),BX123)</f>
        <v>0</v>
      </c>
      <c r="BZ123" s="415">
        <f t="shared" ref="BZ123:BZ124" si="865">IF($F123=BZ$6,(($D123+$E123)/12),BY123)</f>
        <v>0</v>
      </c>
      <c r="CA123" s="415">
        <f t="shared" ref="CA123:CA124" si="866">IF($F123=CA$6,(($D123+$E123)/12),BZ123)</f>
        <v>0</v>
      </c>
      <c r="CB123" s="415">
        <f t="shared" ref="CB123:CB124" si="867">IF($F123=CB$6,(($D123+$E123)/12),CA123)</f>
        <v>0</v>
      </c>
      <c r="CC123" s="415">
        <f t="shared" ref="CC123:CC124" si="868">IF($F123=CC$6,(($D123+$E123)/12),CB123)</f>
        <v>0</v>
      </c>
      <c r="CD123" s="415">
        <f t="shared" ref="CD123:CD124" si="869">IF($F123=CD$6,(($D123+$E123)/12),CC123)</f>
        <v>0</v>
      </c>
      <c r="CE123" s="415">
        <f t="shared" ref="CE123:CE124" si="870">IF($F123=CE$6,(($D123+$E123)/12),CD123)</f>
        <v>0</v>
      </c>
      <c r="CF123" s="416">
        <f t="shared" ref="CF123:CF124" si="871">SUM(BT123:CE123)</f>
        <v>0</v>
      </c>
    </row>
    <row r="124" spans="1:84">
      <c r="A124" s="399"/>
      <c r="B124" s="957" t="s">
        <v>917</v>
      </c>
      <c r="C124" s="534" t="s">
        <v>649</v>
      </c>
      <c r="D124" s="423">
        <v>67200</v>
      </c>
      <c r="E124" s="427"/>
      <c r="F124" s="414" t="s">
        <v>53</v>
      </c>
      <c r="G124" s="415">
        <f t="shared" si="799"/>
        <v>0</v>
      </c>
      <c r="H124" s="415">
        <f t="shared" si="800"/>
        <v>0</v>
      </c>
      <c r="I124" s="415">
        <f t="shared" si="801"/>
        <v>0</v>
      </c>
      <c r="J124" s="415">
        <f t="shared" si="802"/>
        <v>0</v>
      </c>
      <c r="K124" s="415">
        <f t="shared" si="803"/>
        <v>0</v>
      </c>
      <c r="L124" s="415">
        <f t="shared" si="804"/>
        <v>0</v>
      </c>
      <c r="M124" s="415">
        <f t="shared" si="805"/>
        <v>0</v>
      </c>
      <c r="N124" s="415">
        <f t="shared" si="806"/>
        <v>0</v>
      </c>
      <c r="O124" s="415">
        <f t="shared" si="807"/>
        <v>0</v>
      </c>
      <c r="P124" s="415">
        <f t="shared" si="808"/>
        <v>0</v>
      </c>
      <c r="Q124" s="415">
        <f t="shared" si="809"/>
        <v>0</v>
      </c>
      <c r="R124" s="415">
        <f t="shared" si="810"/>
        <v>0</v>
      </c>
      <c r="S124" s="416">
        <f t="shared" si="811"/>
        <v>0</v>
      </c>
      <c r="T124" s="415">
        <f t="shared" si="812"/>
        <v>0</v>
      </c>
      <c r="U124" s="415">
        <f t="shared" si="813"/>
        <v>0</v>
      </c>
      <c r="V124" s="415">
        <f t="shared" si="814"/>
        <v>0</v>
      </c>
      <c r="W124" s="415">
        <f t="shared" ref="W124" si="872">IF($F124=W$6,(($D124+$E124)/12),V124)</f>
        <v>0</v>
      </c>
      <c r="X124" s="415">
        <f t="shared" ref="X124" si="873">IF($F124=X$6,(($D124+$E124)/12),W124)</f>
        <v>5600</v>
      </c>
      <c r="Y124" s="415">
        <f t="shared" ref="Y124" si="874">IF($F124=Y$6,(($D124+$E124)/12),X124)</f>
        <v>5600</v>
      </c>
      <c r="Z124" s="415">
        <f t="shared" ref="Z124" si="875">IF($F124=Z$6,(($D124+$E124)/12),Y124)</f>
        <v>5600</v>
      </c>
      <c r="AA124" s="415">
        <f t="shared" ref="AA124" si="876">IF($F124=AA$6,(($D124+$E124)/12),Z124)</f>
        <v>5600</v>
      </c>
      <c r="AB124" s="415">
        <f t="shared" si="815"/>
        <v>5600</v>
      </c>
      <c r="AC124" s="415">
        <f t="shared" si="816"/>
        <v>5600</v>
      </c>
      <c r="AD124" s="415">
        <f t="shared" si="817"/>
        <v>5600</v>
      </c>
      <c r="AE124" s="415">
        <f t="shared" si="818"/>
        <v>5600</v>
      </c>
      <c r="AF124" s="416">
        <f t="shared" si="819"/>
        <v>44800</v>
      </c>
      <c r="AG124" s="415">
        <f>AE124</f>
        <v>5600</v>
      </c>
      <c r="AH124" s="415">
        <f t="shared" si="821"/>
        <v>5600</v>
      </c>
      <c r="AI124" s="415">
        <f t="shared" si="822"/>
        <v>5600</v>
      </c>
      <c r="AJ124" s="415">
        <f t="shared" si="823"/>
        <v>5600</v>
      </c>
      <c r="AK124" s="415">
        <f t="shared" si="824"/>
        <v>5600</v>
      </c>
      <c r="AL124" s="415">
        <f t="shared" si="825"/>
        <v>5600</v>
      </c>
      <c r="AM124" s="415">
        <v>0</v>
      </c>
      <c r="AN124" s="415">
        <f t="shared" si="827"/>
        <v>0</v>
      </c>
      <c r="AO124" s="415">
        <f t="shared" si="828"/>
        <v>0</v>
      </c>
      <c r="AP124" s="415">
        <f t="shared" si="829"/>
        <v>0</v>
      </c>
      <c r="AQ124" s="415">
        <f t="shared" si="830"/>
        <v>0</v>
      </c>
      <c r="AR124" s="415">
        <f t="shared" si="831"/>
        <v>0</v>
      </c>
      <c r="AS124" s="416">
        <f t="shared" si="832"/>
        <v>33600</v>
      </c>
      <c r="AT124" s="415">
        <f t="shared" si="833"/>
        <v>0</v>
      </c>
      <c r="AU124" s="415">
        <f t="shared" si="834"/>
        <v>0</v>
      </c>
      <c r="AV124" s="415">
        <f t="shared" si="835"/>
        <v>0</v>
      </c>
      <c r="AW124" s="415">
        <f t="shared" si="836"/>
        <v>0</v>
      </c>
      <c r="AX124" s="415">
        <f t="shared" si="837"/>
        <v>0</v>
      </c>
      <c r="AY124" s="415">
        <f t="shared" si="838"/>
        <v>0</v>
      </c>
      <c r="AZ124" s="415">
        <f t="shared" si="839"/>
        <v>0</v>
      </c>
      <c r="BA124" s="415">
        <f t="shared" si="840"/>
        <v>0</v>
      </c>
      <c r="BB124" s="415">
        <f t="shared" si="841"/>
        <v>0</v>
      </c>
      <c r="BC124" s="415">
        <f t="shared" si="842"/>
        <v>0</v>
      </c>
      <c r="BD124" s="415">
        <f t="shared" si="843"/>
        <v>0</v>
      </c>
      <c r="BE124" s="415">
        <f t="shared" si="844"/>
        <v>0</v>
      </c>
      <c r="BF124" s="416">
        <f t="shared" si="845"/>
        <v>0</v>
      </c>
      <c r="BG124" s="415">
        <f t="shared" si="846"/>
        <v>0</v>
      </c>
      <c r="BH124" s="415">
        <f t="shared" si="847"/>
        <v>0</v>
      </c>
      <c r="BI124" s="415">
        <f t="shared" si="848"/>
        <v>0</v>
      </c>
      <c r="BJ124" s="415">
        <f t="shared" si="849"/>
        <v>0</v>
      </c>
      <c r="BK124" s="415">
        <f t="shared" si="850"/>
        <v>0</v>
      </c>
      <c r="BL124" s="415">
        <f t="shared" si="851"/>
        <v>0</v>
      </c>
      <c r="BM124" s="415">
        <f t="shared" si="852"/>
        <v>0</v>
      </c>
      <c r="BN124" s="415">
        <f t="shared" si="853"/>
        <v>0</v>
      </c>
      <c r="BO124" s="415">
        <f t="shared" si="854"/>
        <v>0</v>
      </c>
      <c r="BP124" s="415">
        <f t="shared" si="855"/>
        <v>0</v>
      </c>
      <c r="BQ124" s="415">
        <f t="shared" si="856"/>
        <v>0</v>
      </c>
      <c r="BR124" s="415">
        <f t="shared" si="857"/>
        <v>0</v>
      </c>
      <c r="BS124" s="416">
        <f t="shared" si="858"/>
        <v>0</v>
      </c>
      <c r="BT124" s="415">
        <f t="shared" si="859"/>
        <v>0</v>
      </c>
      <c r="BU124" s="415">
        <f t="shared" si="860"/>
        <v>0</v>
      </c>
      <c r="BV124" s="415">
        <f t="shared" si="861"/>
        <v>0</v>
      </c>
      <c r="BW124" s="415">
        <f t="shared" si="862"/>
        <v>0</v>
      </c>
      <c r="BX124" s="415">
        <f t="shared" si="863"/>
        <v>0</v>
      </c>
      <c r="BY124" s="415">
        <f t="shared" si="864"/>
        <v>0</v>
      </c>
      <c r="BZ124" s="415">
        <f t="shared" si="865"/>
        <v>0</v>
      </c>
      <c r="CA124" s="415">
        <f t="shared" si="866"/>
        <v>0</v>
      </c>
      <c r="CB124" s="415">
        <f t="shared" si="867"/>
        <v>0</v>
      </c>
      <c r="CC124" s="415">
        <f t="shared" si="868"/>
        <v>0</v>
      </c>
      <c r="CD124" s="415">
        <f t="shared" si="869"/>
        <v>0</v>
      </c>
      <c r="CE124" s="415">
        <f t="shared" si="870"/>
        <v>0</v>
      </c>
      <c r="CF124" s="416">
        <f t="shared" si="871"/>
        <v>0</v>
      </c>
    </row>
    <row r="125" spans="1:84">
      <c r="C125" s="970"/>
    </row>
    <row r="126" spans="1:84">
      <c r="A126" s="430" t="s">
        <v>899</v>
      </c>
      <c r="B126" s="431"/>
      <c r="C126" s="430"/>
      <c r="D126" s="431"/>
      <c r="E126" s="431"/>
      <c r="F126" s="431"/>
      <c r="G126" s="432">
        <f t="shared" ref="G126:R126" si="877">SUM(G109:G125)</f>
        <v>9583.3333333333321</v>
      </c>
      <c r="H126" s="432">
        <f t="shared" si="877"/>
        <v>9583.3333333333321</v>
      </c>
      <c r="I126" s="432">
        <f t="shared" si="877"/>
        <v>9583.3333333333321</v>
      </c>
      <c r="J126" s="432">
        <f t="shared" si="877"/>
        <v>9583.3333333333321</v>
      </c>
      <c r="K126" s="432">
        <f t="shared" si="877"/>
        <v>9583.3333333333321</v>
      </c>
      <c r="L126" s="432">
        <f t="shared" si="877"/>
        <v>9583.3333333333321</v>
      </c>
      <c r="M126" s="432">
        <f t="shared" si="877"/>
        <v>9583.3333333333321</v>
      </c>
      <c r="N126" s="432">
        <f t="shared" si="877"/>
        <v>9583.3333333333321</v>
      </c>
      <c r="O126" s="432">
        <f t="shared" si="877"/>
        <v>9583.3333333333321</v>
      </c>
      <c r="P126" s="432">
        <f t="shared" si="877"/>
        <v>9583.3333333333321</v>
      </c>
      <c r="Q126" s="432">
        <f t="shared" si="877"/>
        <v>9583.3333333333321</v>
      </c>
      <c r="R126" s="432">
        <f t="shared" si="877"/>
        <v>9583.3333333333321</v>
      </c>
      <c r="S126" s="422">
        <f>SUM(G126:R126)</f>
        <v>114999.99999999996</v>
      </c>
      <c r="T126" s="432">
        <f t="shared" ref="T126:AE126" si="878">SUM(T109:T125)</f>
        <v>24583.333333333332</v>
      </c>
      <c r="U126" s="432">
        <f t="shared" si="878"/>
        <v>53916.666666666672</v>
      </c>
      <c r="V126" s="432">
        <f t="shared" si="878"/>
        <v>45516.666666666664</v>
      </c>
      <c r="W126" s="432">
        <f t="shared" si="878"/>
        <v>75242.666666666657</v>
      </c>
      <c r="X126" s="432">
        <f t="shared" si="878"/>
        <v>78016.666666666657</v>
      </c>
      <c r="Y126" s="432">
        <f t="shared" si="878"/>
        <v>49516.666666666664</v>
      </c>
      <c r="Z126" s="432">
        <f t="shared" si="878"/>
        <v>78016.666666666657</v>
      </c>
      <c r="AA126" s="432">
        <f t="shared" si="878"/>
        <v>49516.666666666664</v>
      </c>
      <c r="AB126" s="432">
        <f t="shared" si="878"/>
        <v>44516.666666666664</v>
      </c>
      <c r="AC126" s="432">
        <f t="shared" si="878"/>
        <v>44516.666666666664</v>
      </c>
      <c r="AD126" s="432">
        <f t="shared" si="878"/>
        <v>44516.666666666664</v>
      </c>
      <c r="AE126" s="432">
        <f t="shared" si="878"/>
        <v>49516.666666666664</v>
      </c>
      <c r="AF126" s="422">
        <f>SUM(T126:AE126)</f>
        <v>637392.66666666663</v>
      </c>
      <c r="AG126" s="432">
        <f t="shared" ref="AG126:AR126" si="879">SUM(AG109:AG125)</f>
        <v>45340.000000000007</v>
      </c>
      <c r="AH126" s="432">
        <f t="shared" si="879"/>
        <v>45340.000000000007</v>
      </c>
      <c r="AI126" s="432">
        <f t="shared" si="879"/>
        <v>45340.000000000007</v>
      </c>
      <c r="AJ126" s="432">
        <f t="shared" si="879"/>
        <v>45340.000000000007</v>
      </c>
      <c r="AK126" s="432">
        <f t="shared" si="879"/>
        <v>45340.000000000007</v>
      </c>
      <c r="AL126" s="432">
        <f t="shared" si="879"/>
        <v>45340.000000000007</v>
      </c>
      <c r="AM126" s="432">
        <f t="shared" si="879"/>
        <v>10140</v>
      </c>
      <c r="AN126" s="432">
        <f t="shared" si="879"/>
        <v>10140</v>
      </c>
      <c r="AO126" s="432">
        <f t="shared" si="879"/>
        <v>10140</v>
      </c>
      <c r="AP126" s="432">
        <f t="shared" si="879"/>
        <v>10140</v>
      </c>
      <c r="AQ126" s="432">
        <f t="shared" si="879"/>
        <v>10140</v>
      </c>
      <c r="AR126" s="432">
        <f t="shared" si="879"/>
        <v>10140</v>
      </c>
      <c r="AS126" s="422">
        <f t="shared" ref="AS126" si="880">SUM(AG126:AR126)</f>
        <v>332880.00000000006</v>
      </c>
      <c r="AT126" s="432">
        <f t="shared" ref="AT126:BE126" si="881">SUM(AT109:AT125)</f>
        <v>10545.6</v>
      </c>
      <c r="AU126" s="432">
        <f t="shared" si="881"/>
        <v>10545.6</v>
      </c>
      <c r="AV126" s="432">
        <f t="shared" si="881"/>
        <v>10545.6</v>
      </c>
      <c r="AW126" s="432">
        <f t="shared" si="881"/>
        <v>10545.6</v>
      </c>
      <c r="AX126" s="432">
        <f t="shared" si="881"/>
        <v>10545.6</v>
      </c>
      <c r="AY126" s="432">
        <f t="shared" si="881"/>
        <v>10545.6</v>
      </c>
      <c r="AZ126" s="432">
        <f t="shared" si="881"/>
        <v>10545.6</v>
      </c>
      <c r="BA126" s="432">
        <f t="shared" si="881"/>
        <v>10545.6</v>
      </c>
      <c r="BB126" s="432">
        <f t="shared" si="881"/>
        <v>10545.6</v>
      </c>
      <c r="BC126" s="432">
        <f t="shared" si="881"/>
        <v>10545.6</v>
      </c>
      <c r="BD126" s="432">
        <f t="shared" si="881"/>
        <v>10545.6</v>
      </c>
      <c r="BE126" s="432">
        <f t="shared" si="881"/>
        <v>10545.6</v>
      </c>
      <c r="BF126" s="422">
        <f t="shared" ref="BF126" si="882">SUM(AT126:BE126)</f>
        <v>126547.20000000003</v>
      </c>
      <c r="BG126" s="432">
        <f t="shared" ref="BG126:BR126" si="883">SUM(BG109:BG125)</f>
        <v>10967.423999999999</v>
      </c>
      <c r="BH126" s="432">
        <f t="shared" si="883"/>
        <v>10967.423999999999</v>
      </c>
      <c r="BI126" s="432">
        <f t="shared" si="883"/>
        <v>10967.423999999999</v>
      </c>
      <c r="BJ126" s="432">
        <f t="shared" si="883"/>
        <v>10967.423999999999</v>
      </c>
      <c r="BK126" s="432">
        <f t="shared" si="883"/>
        <v>10967.423999999999</v>
      </c>
      <c r="BL126" s="432">
        <f t="shared" si="883"/>
        <v>10967.423999999999</v>
      </c>
      <c r="BM126" s="432">
        <f t="shared" si="883"/>
        <v>10967.423999999999</v>
      </c>
      <c r="BN126" s="432">
        <f t="shared" si="883"/>
        <v>10967.423999999999</v>
      </c>
      <c r="BO126" s="432">
        <f t="shared" si="883"/>
        <v>10967.423999999999</v>
      </c>
      <c r="BP126" s="432">
        <f t="shared" si="883"/>
        <v>10967.423999999999</v>
      </c>
      <c r="BQ126" s="432">
        <f t="shared" si="883"/>
        <v>10967.423999999999</v>
      </c>
      <c r="BR126" s="432">
        <f t="shared" si="883"/>
        <v>10967.423999999999</v>
      </c>
      <c r="BS126" s="422">
        <f t="shared" ref="BS126" si="884">SUM(BG126:BR126)</f>
        <v>131609.08799999999</v>
      </c>
      <c r="BT126" s="432">
        <f t="shared" ref="BT126:CE126" si="885">SUM(BT109:BT125)</f>
        <v>11406.12096</v>
      </c>
      <c r="BU126" s="432">
        <f t="shared" si="885"/>
        <v>11406.12096</v>
      </c>
      <c r="BV126" s="432">
        <f t="shared" si="885"/>
        <v>11406.12096</v>
      </c>
      <c r="BW126" s="432">
        <f t="shared" si="885"/>
        <v>11406.12096</v>
      </c>
      <c r="BX126" s="432">
        <f t="shared" si="885"/>
        <v>11406.12096</v>
      </c>
      <c r="BY126" s="432">
        <f t="shared" si="885"/>
        <v>11406.12096</v>
      </c>
      <c r="BZ126" s="432">
        <f t="shared" si="885"/>
        <v>11406.12096</v>
      </c>
      <c r="CA126" s="432">
        <f t="shared" si="885"/>
        <v>11406.12096</v>
      </c>
      <c r="CB126" s="432">
        <f t="shared" si="885"/>
        <v>11406.12096</v>
      </c>
      <c r="CC126" s="432">
        <f t="shared" si="885"/>
        <v>11406.12096</v>
      </c>
      <c r="CD126" s="432">
        <f t="shared" si="885"/>
        <v>11406.12096</v>
      </c>
      <c r="CE126" s="432">
        <f t="shared" si="885"/>
        <v>11406.12096</v>
      </c>
      <c r="CF126" s="422">
        <f t="shared" ref="CF126" si="886">SUM(BT126:CE126)</f>
        <v>136873.45152</v>
      </c>
    </row>
  </sheetData>
  <mergeCells count="15">
    <mergeCell ref="BG5:BS5"/>
    <mergeCell ref="BT5:CF5"/>
    <mergeCell ref="A2:B2"/>
    <mergeCell ref="A5:F5"/>
    <mergeCell ref="G5:S5"/>
    <mergeCell ref="T5:AF5"/>
    <mergeCell ref="AG5:AS5"/>
    <mergeCell ref="AT5:BF5"/>
    <mergeCell ref="BG105:BS105"/>
    <mergeCell ref="BT105:CF105"/>
    <mergeCell ref="A105:F105"/>
    <mergeCell ref="G105:S105"/>
    <mergeCell ref="T105:AF105"/>
    <mergeCell ref="AG105:AS105"/>
    <mergeCell ref="AT105:BF105"/>
  </mergeCells>
  <printOptions horizontalCentered="1"/>
  <pageMargins left="0.7" right="0.7" top="0.75" bottom="0.75" header="0.3" footer="0.3"/>
  <pageSetup scale="52" orientation="landscape" horizontalDpi="4294967293" verticalDpi="4294967293" r:id="rId1"/>
  <headerFooter>
    <oddFooter>&amp;RPage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6AED-CD5D-0546-8A14-27133DD37804}">
  <sheetPr>
    <pageSetUpPr fitToPage="1"/>
  </sheetPr>
  <dimension ref="A1:D54"/>
  <sheetViews>
    <sheetView showGridLines="0" zoomScaleNormal="100" workbookViewId="0">
      <selection activeCell="A49" sqref="A49:XFD49"/>
    </sheetView>
  </sheetViews>
  <sheetFormatPr baseColWidth="10" defaultColWidth="8.6640625" defaultRowHeight="15"/>
  <cols>
    <col min="1" max="1" width="42" style="1054" customWidth="1"/>
    <col min="2" max="2" width="4" style="1054" customWidth="1"/>
    <col min="3" max="3" width="16" style="1054" customWidth="1"/>
    <col min="4" max="4" width="70" style="1054" customWidth="1"/>
    <col min="5" max="16384" width="8.6640625" style="1054"/>
  </cols>
  <sheetData>
    <row r="1" spans="1:4" ht="18">
      <c r="A1" s="1084" t="s">
        <v>1075</v>
      </c>
    </row>
    <row r="2" spans="1:4">
      <c r="A2" s="1085" t="s">
        <v>1076</v>
      </c>
    </row>
    <row r="3" spans="1:4" ht="27.75" customHeight="1">
      <c r="A3" s="1202" t="s">
        <v>1077</v>
      </c>
      <c r="B3" s="1202"/>
      <c r="C3" s="1202"/>
      <c r="D3" s="1202"/>
    </row>
    <row r="5" spans="1:4" ht="67.5" customHeight="1">
      <c r="A5" s="1201" t="s">
        <v>1078</v>
      </c>
      <c r="B5" s="1201"/>
      <c r="C5" s="1201"/>
      <c r="D5" s="1201"/>
    </row>
    <row r="7" spans="1:4" ht="49.5" customHeight="1">
      <c r="A7" s="1203" t="s">
        <v>1079</v>
      </c>
      <c r="B7" s="1203"/>
      <c r="C7" s="1203"/>
      <c r="D7" s="1203"/>
    </row>
    <row r="9" spans="1:4" ht="16">
      <c r="A9" s="1091" t="s">
        <v>1080</v>
      </c>
    </row>
    <row r="10" spans="1:4">
      <c r="A10" s="1087" t="s">
        <v>1081</v>
      </c>
      <c r="B10" s="1086"/>
      <c r="C10" s="1086"/>
      <c r="D10" s="1086"/>
    </row>
    <row r="11" spans="1:4">
      <c r="A11" s="1088" t="s">
        <v>1082</v>
      </c>
      <c r="C11" s="1092">
        <v>30</v>
      </c>
      <c r="D11" s="1089" t="s">
        <v>1083</v>
      </c>
    </row>
    <row r="12" spans="1:4">
      <c r="A12" s="1088" t="s">
        <v>1084</v>
      </c>
      <c r="C12" s="1092">
        <v>60</v>
      </c>
      <c r="D12" s="1089" t="s">
        <v>1085</v>
      </c>
    </row>
    <row r="13" spans="1:4">
      <c r="A13" s="1088" t="s">
        <v>1086</v>
      </c>
      <c r="C13" s="1092">
        <v>90</v>
      </c>
      <c r="D13" s="1089" t="s">
        <v>1087</v>
      </c>
    </row>
    <row r="15" spans="1:4">
      <c r="A15" s="1087" t="s">
        <v>1088</v>
      </c>
      <c r="B15" s="1086"/>
      <c r="C15" s="1086"/>
      <c r="D15" s="1086"/>
    </row>
    <row r="16" spans="1:4">
      <c r="A16" s="1088" t="s">
        <v>1089</v>
      </c>
      <c r="C16" s="1093">
        <f>1/3</f>
        <v>0.33333333333333331</v>
      </c>
      <c r="D16" s="1089" t="s">
        <v>1090</v>
      </c>
    </row>
    <row r="17" spans="1:4">
      <c r="A17" s="1088" t="s">
        <v>1091</v>
      </c>
      <c r="C17" s="1093">
        <f>1/3</f>
        <v>0.33333333333333331</v>
      </c>
      <c r="D17" s="1089" t="s">
        <v>1092</v>
      </c>
    </row>
    <row r="18" spans="1:4">
      <c r="A18" s="1088" t="s">
        <v>1093</v>
      </c>
      <c r="C18" s="1093">
        <f>1/3</f>
        <v>0.33333333333333331</v>
      </c>
      <c r="D18" s="1089" t="s">
        <v>1092</v>
      </c>
    </row>
    <row r="19" spans="1:4" ht="27">
      <c r="A19" s="1094" t="s">
        <v>1094</v>
      </c>
      <c r="C19" s="1090" t="str">
        <f>IF(ROUND(C16+C17+C18,4)=1,"OK — 100%","CHECK — not 100%")</f>
        <v>OK — 100%</v>
      </c>
      <c r="D19" s="1089" t="s">
        <v>1095</v>
      </c>
    </row>
    <row r="21" spans="1:4">
      <c r="A21" s="1087" t="s">
        <v>1096</v>
      </c>
      <c r="B21" s="1086"/>
      <c r="C21" s="1086"/>
      <c r="D21" s="1086"/>
    </row>
    <row r="22" spans="1:4" ht="40">
      <c r="A22" s="1088" t="s">
        <v>1097</v>
      </c>
      <c r="C22" s="1095">
        <v>11.99</v>
      </c>
      <c r="D22" s="1089" t="s">
        <v>1098</v>
      </c>
    </row>
    <row r="23" spans="1:4">
      <c r="A23" s="1088" t="s">
        <v>1099</v>
      </c>
      <c r="C23" s="1095">
        <v>24.99</v>
      </c>
      <c r="D23" s="1089" t="s">
        <v>1100</v>
      </c>
    </row>
    <row r="24" spans="1:4">
      <c r="A24" s="1088" t="s">
        <v>1101</v>
      </c>
      <c r="C24" s="1095">
        <v>34.99</v>
      </c>
      <c r="D24" s="1089" t="s">
        <v>1100</v>
      </c>
    </row>
    <row r="26" spans="1:4">
      <c r="A26" s="1087" t="s">
        <v>1102</v>
      </c>
      <c r="B26" s="1086"/>
      <c r="C26" s="1086"/>
      <c r="D26" s="1086"/>
    </row>
    <row r="27" spans="1:4" ht="27">
      <c r="A27" s="1088" t="s">
        <v>1103</v>
      </c>
      <c r="C27" s="1096">
        <v>0.2</v>
      </c>
      <c r="D27" s="1089" t="s">
        <v>1104</v>
      </c>
    </row>
    <row r="28" spans="1:4">
      <c r="A28" s="1088" t="s">
        <v>1105</v>
      </c>
      <c r="C28" s="1096">
        <v>0.3</v>
      </c>
      <c r="D28" s="1089" t="s">
        <v>1106</v>
      </c>
    </row>
    <row r="29" spans="1:4">
      <c r="A29" s="1088" t="s">
        <v>1107</v>
      </c>
      <c r="C29" s="1096">
        <v>0.5</v>
      </c>
      <c r="D29" s="1089" t="s">
        <v>1106</v>
      </c>
    </row>
    <row r="30" spans="1:4" ht="27">
      <c r="A30" s="1094" t="s">
        <v>1108</v>
      </c>
      <c r="C30" s="1090" t="str">
        <f>IF(ROUND(C27+C28+C29,4)=1,"OK — 100%","CHECK — not 100%")</f>
        <v>OK — 100%</v>
      </c>
      <c r="D30" s="1089" t="s">
        <v>1109</v>
      </c>
    </row>
    <row r="32" spans="1:4">
      <c r="A32" s="1087" t="s">
        <v>1110</v>
      </c>
      <c r="B32" s="1086"/>
      <c r="C32" s="1086"/>
      <c r="D32" s="1086"/>
    </row>
    <row r="33" spans="1:4" ht="40">
      <c r="A33" s="1088" t="s">
        <v>1111</v>
      </c>
      <c r="C33" s="1092">
        <v>10000</v>
      </c>
      <c r="D33" s="1089" t="s">
        <v>1112</v>
      </c>
    </row>
    <row r="34" spans="1:4" ht="27">
      <c r="A34" s="1088" t="s">
        <v>1113</v>
      </c>
      <c r="C34" s="1097">
        <v>3000</v>
      </c>
      <c r="D34" s="1089" t="s">
        <v>1114</v>
      </c>
    </row>
    <row r="35" spans="1:4">
      <c r="A35" s="1088" t="s">
        <v>1115</v>
      </c>
      <c r="C35" s="1092">
        <v>500</v>
      </c>
      <c r="D35" s="1089" t="s">
        <v>1116</v>
      </c>
    </row>
    <row r="37" spans="1:4" ht="27">
      <c r="A37" s="1088" t="s">
        <v>1117</v>
      </c>
      <c r="C37" s="1093">
        <v>0.2</v>
      </c>
      <c r="D37" s="1089" t="s">
        <v>1118</v>
      </c>
    </row>
    <row r="40" spans="1:4" ht="84.75" customHeight="1">
      <c r="A40" s="1201" t="s">
        <v>1119</v>
      </c>
      <c r="B40" s="1201"/>
      <c r="C40" s="1201"/>
      <c r="D40" s="1201"/>
    </row>
    <row r="42" spans="1:4" ht="16">
      <c r="A42" s="1098" t="s">
        <v>1120</v>
      </c>
    </row>
    <row r="43" spans="1:4">
      <c r="A43" s="1087" t="s">
        <v>1121</v>
      </c>
      <c r="B43" s="1086"/>
      <c r="C43" s="1086"/>
      <c r="D43" s="1086"/>
    </row>
    <row r="44" spans="1:4" ht="40">
      <c r="A44" s="1088" t="s">
        <v>1122</v>
      </c>
      <c r="C44" s="1099">
        <v>0.15</v>
      </c>
      <c r="D44" s="1089" t="s">
        <v>1123</v>
      </c>
    </row>
    <row r="45" spans="1:4">
      <c r="A45" s="1088" t="s">
        <v>1124</v>
      </c>
      <c r="C45" s="1099">
        <v>0.35</v>
      </c>
      <c r="D45" s="1089" t="s">
        <v>1125</v>
      </c>
    </row>
    <row r="46" spans="1:4">
      <c r="A46" s="1088" t="s">
        <v>1126</v>
      </c>
      <c r="C46" s="1099">
        <v>0.55000000000000004</v>
      </c>
      <c r="D46" s="1089" t="s">
        <v>1125</v>
      </c>
    </row>
    <row r="47" spans="1:4" ht="40">
      <c r="A47" s="1088" t="s">
        <v>1127</v>
      </c>
      <c r="C47" s="1099">
        <v>7.95</v>
      </c>
      <c r="D47" s="1089" t="s">
        <v>1128</v>
      </c>
    </row>
    <row r="48" spans="1:4">
      <c r="A48" s="1117" t="s">
        <v>77</v>
      </c>
      <c r="C48" s="1096">
        <v>0.1</v>
      </c>
      <c r="D48" s="1118" t="s">
        <v>1125</v>
      </c>
    </row>
    <row r="50" spans="1:4" ht="49.5" customHeight="1">
      <c r="A50" s="1201" t="s">
        <v>1129</v>
      </c>
      <c r="B50" s="1201"/>
      <c r="C50" s="1201"/>
      <c r="D50" s="1201"/>
    </row>
    <row r="52" spans="1:4" ht="67.5" customHeight="1">
      <c r="A52" s="1201" t="s">
        <v>1130</v>
      </c>
      <c r="B52" s="1201"/>
      <c r="C52" s="1201"/>
      <c r="D52" s="1201"/>
    </row>
    <row r="54" spans="1:4" ht="49.5" customHeight="1">
      <c r="A54" s="1201" t="s">
        <v>1131</v>
      </c>
      <c r="B54" s="1201"/>
      <c r="C54" s="1201"/>
      <c r="D54" s="1201"/>
    </row>
  </sheetData>
  <mergeCells count="7">
    <mergeCell ref="A54:D54"/>
    <mergeCell ref="A3:D3"/>
    <mergeCell ref="A5:D5"/>
    <mergeCell ref="A7:D7"/>
    <mergeCell ref="A40:D40"/>
    <mergeCell ref="A50:D50"/>
    <mergeCell ref="A52:D52"/>
  </mergeCells>
  <conditionalFormatting sqref="C19">
    <cfRule type="expression" dxfId="5" priority="1">
      <formula>LEFT(C19,2)="OK"</formula>
    </cfRule>
    <cfRule type="expression" dxfId="4" priority="2">
      <formula>LEFT(C19,2)="OK"=0</formula>
    </cfRule>
  </conditionalFormatting>
  <conditionalFormatting sqref="C30">
    <cfRule type="expression" dxfId="3" priority="3">
      <formula>LEFT(C30,2)="OK"</formula>
    </cfRule>
    <cfRule type="expression" dxfId="2" priority="4">
      <formula>LEFT(C30,2)="OK"=0</formula>
    </cfRule>
  </conditionalFormatting>
  <pageMargins left="0.4" right="0.4" top="0.5" bottom="0.5" header="0.511811023622047" footer="0.511811023622047"/>
  <pageSetup fitToHeight="0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34C22-7ECF-5D43-8731-674F7A2BBD56}">
  <sheetPr>
    <pageSetUpPr fitToPage="1"/>
  </sheetPr>
  <dimension ref="A1:N37"/>
  <sheetViews>
    <sheetView showGridLines="0" zoomScaleNormal="100" workbookViewId="0">
      <pane ySplit="4" topLeftCell="A5" activePane="bottomLeft" state="frozen"/>
      <selection pane="bottomLeft" activeCell="A2" sqref="A2"/>
    </sheetView>
  </sheetViews>
  <sheetFormatPr baseColWidth="10" defaultColWidth="8.6640625" defaultRowHeight="15"/>
  <cols>
    <col min="1" max="1" width="8" style="1054" customWidth="1"/>
    <col min="2" max="2" width="16" style="1054" customWidth="1"/>
    <col min="3" max="3" width="9" style="1054" customWidth="1"/>
    <col min="4" max="4" width="11" style="1054" customWidth="1"/>
    <col min="5" max="5" width="13" style="1054" customWidth="1"/>
    <col min="6" max="7" width="12" style="1054" customWidth="1"/>
    <col min="8" max="8" width="14" style="1054" customWidth="1"/>
    <col min="9" max="9" width="15" style="1054" customWidth="1"/>
    <col min="10" max="10" width="16" style="1054" customWidth="1"/>
    <col min="11" max="11" width="15" style="1054" customWidth="1"/>
    <col min="12" max="12" width="16" style="1054" customWidth="1"/>
    <col min="13" max="13" width="8.6640625" style="1054"/>
    <col min="14" max="14" width="10.1640625" style="1054" bestFit="1" customWidth="1"/>
    <col min="15" max="16384" width="8.6640625" style="1054"/>
  </cols>
  <sheetData>
    <row r="1" spans="1:14" ht="18">
      <c r="A1" s="1084" t="s">
        <v>1132</v>
      </c>
    </row>
    <row r="2" spans="1:14">
      <c r="A2" s="1085" t="s">
        <v>1133</v>
      </c>
    </row>
    <row r="4" spans="1:14" ht="30" customHeight="1">
      <c r="A4" s="1100" t="s">
        <v>547</v>
      </c>
      <c r="B4" s="1100" t="s">
        <v>1134</v>
      </c>
      <c r="C4" s="1100" t="s">
        <v>1135</v>
      </c>
      <c r="D4" s="1100" t="s">
        <v>1136</v>
      </c>
      <c r="E4" s="1100" t="s">
        <v>1137</v>
      </c>
      <c r="F4" s="1100" t="s">
        <v>1138</v>
      </c>
      <c r="G4" s="1100" t="s">
        <v>1139</v>
      </c>
      <c r="H4" s="1100" t="s">
        <v>1140</v>
      </c>
      <c r="I4" s="1100" t="s">
        <v>1141</v>
      </c>
      <c r="J4" s="1100" t="s">
        <v>1142</v>
      </c>
      <c r="K4" s="1100" t="s">
        <v>1143</v>
      </c>
      <c r="L4" s="1116" t="s">
        <v>77</v>
      </c>
    </row>
    <row r="5" spans="1:14">
      <c r="A5" s="1101" t="s">
        <v>1058</v>
      </c>
      <c r="B5" s="1101" t="s">
        <v>1144</v>
      </c>
      <c r="C5" s="1101" t="s">
        <v>1145</v>
      </c>
      <c r="D5" s="1102">
        <f>'Frequency Inputs'!$C$11*'Frequency Inputs'!$C$16*'Frequency Inputs'!$C$27</f>
        <v>2</v>
      </c>
      <c r="E5" s="1103">
        <f>'Frequency Inputs'!$C$33*(1+'Frequency Inputs'!$C$37)^0</f>
        <v>10000</v>
      </c>
      <c r="F5" s="1103">
        <f t="shared" ref="F5:F13" si="0">D5*E5</f>
        <v>20000</v>
      </c>
      <c r="G5" s="1104">
        <f>'Frequency Inputs'!$C$22</f>
        <v>11.99</v>
      </c>
      <c r="H5" s="1105">
        <f t="shared" ref="H5:H13" si="1">F5*G5</f>
        <v>239800</v>
      </c>
      <c r="I5" s="1104">
        <f>'Frequency Inputs'!$C$44</f>
        <v>0.15</v>
      </c>
      <c r="J5" s="1105">
        <f t="shared" ref="J5:J13" si="2">F5*I5</f>
        <v>3000</v>
      </c>
      <c r="K5" s="1105">
        <f>F5*'Frequency Inputs'!$C$47</f>
        <v>159000</v>
      </c>
      <c r="L5" s="1105">
        <f>H5*'Frequency Inputs'!$C$48</f>
        <v>23980</v>
      </c>
    </row>
    <row r="6" spans="1:14">
      <c r="A6" s="1101" t="s">
        <v>1058</v>
      </c>
      <c r="B6" s="1101" t="s">
        <v>1144</v>
      </c>
      <c r="C6" s="1101" t="s">
        <v>1146</v>
      </c>
      <c r="D6" s="1102">
        <f>'Frequency Inputs'!$C$11*'Frequency Inputs'!$C$16*'Frequency Inputs'!$C$28</f>
        <v>3</v>
      </c>
      <c r="E6" s="1103">
        <f>'Frequency Inputs'!$C$34*(1+'Frequency Inputs'!$C$37)^0</f>
        <v>3000</v>
      </c>
      <c r="F6" s="1103">
        <f t="shared" si="0"/>
        <v>9000</v>
      </c>
      <c r="G6" s="1104">
        <f>'Frequency Inputs'!$C$22</f>
        <v>11.99</v>
      </c>
      <c r="H6" s="1105">
        <f t="shared" si="1"/>
        <v>107910</v>
      </c>
      <c r="I6" s="1104">
        <f>'Frequency Inputs'!$C$44</f>
        <v>0.15</v>
      </c>
      <c r="J6" s="1105">
        <f t="shared" si="2"/>
        <v>1350</v>
      </c>
      <c r="K6" s="1105">
        <f>F6*'Frequency Inputs'!$C$47</f>
        <v>71550</v>
      </c>
      <c r="L6" s="1105">
        <f>H6*'Frequency Inputs'!$C$48</f>
        <v>10791</v>
      </c>
    </row>
    <row r="7" spans="1:14">
      <c r="A7" s="1101" t="s">
        <v>1058</v>
      </c>
      <c r="B7" s="1101" t="s">
        <v>1144</v>
      </c>
      <c r="C7" s="1101" t="s">
        <v>1147</v>
      </c>
      <c r="D7" s="1102">
        <f>'Frequency Inputs'!$C$11*'Frequency Inputs'!$C$16*'Frequency Inputs'!$C$29</f>
        <v>5</v>
      </c>
      <c r="E7" s="1103">
        <f>'Frequency Inputs'!$C$35*(1+'Frequency Inputs'!$C$37)^0</f>
        <v>500</v>
      </c>
      <c r="F7" s="1103">
        <f t="shared" si="0"/>
        <v>2500</v>
      </c>
      <c r="G7" s="1104">
        <f>'Frequency Inputs'!$C$22</f>
        <v>11.99</v>
      </c>
      <c r="H7" s="1105">
        <f t="shared" si="1"/>
        <v>29975</v>
      </c>
      <c r="I7" s="1104">
        <f>'Frequency Inputs'!$C$44</f>
        <v>0.15</v>
      </c>
      <c r="J7" s="1105">
        <f t="shared" si="2"/>
        <v>375</v>
      </c>
      <c r="K7" s="1105">
        <f>F7*'Frequency Inputs'!$C$47</f>
        <v>19875</v>
      </c>
      <c r="L7" s="1105">
        <f>H7*'Frequency Inputs'!$C$48</f>
        <v>2997.5</v>
      </c>
    </row>
    <row r="8" spans="1:14">
      <c r="A8" s="1101" t="s">
        <v>1058</v>
      </c>
      <c r="B8" s="1101" t="s">
        <v>1148</v>
      </c>
      <c r="C8" s="1101" t="s">
        <v>1145</v>
      </c>
      <c r="D8" s="1102">
        <f>'Frequency Inputs'!$C$11*'Frequency Inputs'!$C$17*'Frequency Inputs'!$C$27</f>
        <v>2</v>
      </c>
      <c r="E8" s="1103">
        <f>'Frequency Inputs'!$C$33*(1+'Frequency Inputs'!$C$37)^0</f>
        <v>10000</v>
      </c>
      <c r="F8" s="1103">
        <f t="shared" si="0"/>
        <v>20000</v>
      </c>
      <c r="G8" s="1104">
        <f>'Frequency Inputs'!$C$23</f>
        <v>24.99</v>
      </c>
      <c r="H8" s="1105">
        <f t="shared" si="1"/>
        <v>499799.99999999994</v>
      </c>
      <c r="I8" s="1104">
        <f>'Frequency Inputs'!$C$45</f>
        <v>0.35</v>
      </c>
      <c r="J8" s="1105">
        <f t="shared" si="2"/>
        <v>7000</v>
      </c>
      <c r="K8" s="1105">
        <f>F8*'Frequency Inputs'!$C$47</f>
        <v>159000</v>
      </c>
      <c r="L8" s="1105">
        <f>H8*'Frequency Inputs'!$C$48</f>
        <v>49980</v>
      </c>
    </row>
    <row r="9" spans="1:14">
      <c r="A9" s="1101" t="s">
        <v>1058</v>
      </c>
      <c r="B9" s="1101" t="s">
        <v>1148</v>
      </c>
      <c r="C9" s="1101" t="s">
        <v>1146</v>
      </c>
      <c r="D9" s="1102">
        <f>'Frequency Inputs'!$C$11*'Frequency Inputs'!$C$17*'Frequency Inputs'!$C$28</f>
        <v>3</v>
      </c>
      <c r="E9" s="1103">
        <f>'Frequency Inputs'!$C$34*(1+'Frequency Inputs'!$C$37)^0</f>
        <v>3000</v>
      </c>
      <c r="F9" s="1103">
        <f t="shared" si="0"/>
        <v>9000</v>
      </c>
      <c r="G9" s="1104">
        <f>'Frequency Inputs'!$C$23</f>
        <v>24.99</v>
      </c>
      <c r="H9" s="1105">
        <f t="shared" si="1"/>
        <v>224910</v>
      </c>
      <c r="I9" s="1104">
        <f>'Frequency Inputs'!$C$45</f>
        <v>0.35</v>
      </c>
      <c r="J9" s="1105">
        <f t="shared" si="2"/>
        <v>3150</v>
      </c>
      <c r="K9" s="1105">
        <f>F9*'Frequency Inputs'!$C$47</f>
        <v>71550</v>
      </c>
      <c r="L9" s="1105">
        <f>H9*'Frequency Inputs'!$C$48</f>
        <v>22491</v>
      </c>
    </row>
    <row r="10" spans="1:14">
      <c r="A10" s="1101" t="s">
        <v>1058</v>
      </c>
      <c r="B10" s="1101" t="s">
        <v>1148</v>
      </c>
      <c r="C10" s="1101" t="s">
        <v>1147</v>
      </c>
      <c r="D10" s="1102">
        <f>'Frequency Inputs'!$C$11*'Frequency Inputs'!$C$17*'Frequency Inputs'!$C$29</f>
        <v>5</v>
      </c>
      <c r="E10" s="1103">
        <f>'Frequency Inputs'!$C$35*(1+'Frequency Inputs'!$C$37)^0</f>
        <v>500</v>
      </c>
      <c r="F10" s="1103">
        <f t="shared" si="0"/>
        <v>2500</v>
      </c>
      <c r="G10" s="1104">
        <f>'Frequency Inputs'!$C$23</f>
        <v>24.99</v>
      </c>
      <c r="H10" s="1105">
        <f t="shared" si="1"/>
        <v>62474.999999999993</v>
      </c>
      <c r="I10" s="1104">
        <f>'Frequency Inputs'!$C$45</f>
        <v>0.35</v>
      </c>
      <c r="J10" s="1105">
        <f t="shared" si="2"/>
        <v>875</v>
      </c>
      <c r="K10" s="1105">
        <f>F10*'Frequency Inputs'!$C$47</f>
        <v>19875</v>
      </c>
      <c r="L10" s="1105">
        <f>H10*'Frequency Inputs'!$C$48</f>
        <v>6247.5</v>
      </c>
    </row>
    <row r="11" spans="1:14">
      <c r="A11" s="1101" t="s">
        <v>1058</v>
      </c>
      <c r="B11" s="1101" t="s">
        <v>1149</v>
      </c>
      <c r="C11" s="1101" t="s">
        <v>1145</v>
      </c>
      <c r="D11" s="1102">
        <f>'Frequency Inputs'!$C$11*'Frequency Inputs'!$C$18*'Frequency Inputs'!$C$27</f>
        <v>2</v>
      </c>
      <c r="E11" s="1103">
        <f>'Frequency Inputs'!$C$33*(1+'Frequency Inputs'!$C$37)^0</f>
        <v>10000</v>
      </c>
      <c r="F11" s="1103">
        <f t="shared" si="0"/>
        <v>20000</v>
      </c>
      <c r="G11" s="1104">
        <f>'Frequency Inputs'!$C$24</f>
        <v>34.99</v>
      </c>
      <c r="H11" s="1105">
        <f t="shared" si="1"/>
        <v>699800</v>
      </c>
      <c r="I11" s="1104">
        <f>'Frequency Inputs'!$C$46</f>
        <v>0.55000000000000004</v>
      </c>
      <c r="J11" s="1105">
        <f t="shared" si="2"/>
        <v>11000</v>
      </c>
      <c r="K11" s="1105">
        <f>F11*'Frequency Inputs'!$C$47</f>
        <v>159000</v>
      </c>
      <c r="L11" s="1105">
        <f>H11*'Frequency Inputs'!$C$48</f>
        <v>69980</v>
      </c>
    </row>
    <row r="12" spans="1:14">
      <c r="A12" s="1101" t="s">
        <v>1058</v>
      </c>
      <c r="B12" s="1101" t="s">
        <v>1149</v>
      </c>
      <c r="C12" s="1101" t="s">
        <v>1146</v>
      </c>
      <c r="D12" s="1102">
        <f>'Frequency Inputs'!$C$11*'Frequency Inputs'!$C$18*'Frequency Inputs'!$C$28</f>
        <v>3</v>
      </c>
      <c r="E12" s="1103">
        <f>'Frequency Inputs'!$C$34*(1+'Frequency Inputs'!$C$37)^0</f>
        <v>3000</v>
      </c>
      <c r="F12" s="1103">
        <f t="shared" si="0"/>
        <v>9000</v>
      </c>
      <c r="G12" s="1104">
        <f>'Frequency Inputs'!$C$24</f>
        <v>34.99</v>
      </c>
      <c r="H12" s="1105">
        <f t="shared" si="1"/>
        <v>314910</v>
      </c>
      <c r="I12" s="1104">
        <f>'Frequency Inputs'!$C$46</f>
        <v>0.55000000000000004</v>
      </c>
      <c r="J12" s="1105">
        <f t="shared" si="2"/>
        <v>4950</v>
      </c>
      <c r="K12" s="1105">
        <f>F12*'Frequency Inputs'!$C$47</f>
        <v>71550</v>
      </c>
      <c r="L12" s="1105">
        <f>H12*'Frequency Inputs'!$C$48</f>
        <v>31491</v>
      </c>
    </row>
    <row r="13" spans="1:14">
      <c r="A13" s="1101" t="s">
        <v>1058</v>
      </c>
      <c r="B13" s="1101" t="s">
        <v>1149</v>
      </c>
      <c r="C13" s="1101" t="s">
        <v>1147</v>
      </c>
      <c r="D13" s="1102">
        <f>'Frequency Inputs'!$C$11*'Frequency Inputs'!$C$18*'Frequency Inputs'!$C$29</f>
        <v>5</v>
      </c>
      <c r="E13" s="1103">
        <f>'Frequency Inputs'!$C$35*(1+'Frequency Inputs'!$C$37)^0</f>
        <v>500</v>
      </c>
      <c r="F13" s="1103">
        <f t="shared" si="0"/>
        <v>2500</v>
      </c>
      <c r="G13" s="1104">
        <f>'Frequency Inputs'!$C$24</f>
        <v>34.99</v>
      </c>
      <c r="H13" s="1105">
        <f t="shared" si="1"/>
        <v>87475</v>
      </c>
      <c r="I13" s="1104">
        <f>'Frequency Inputs'!$C$46</f>
        <v>0.55000000000000004</v>
      </c>
      <c r="J13" s="1105">
        <f t="shared" si="2"/>
        <v>1375</v>
      </c>
      <c r="K13" s="1105">
        <f>F13*'Frequency Inputs'!$C$47</f>
        <v>19875</v>
      </c>
      <c r="L13" s="1105">
        <f>H13*'Frequency Inputs'!$C$48</f>
        <v>8747.5</v>
      </c>
    </row>
    <row r="14" spans="1:14">
      <c r="A14" s="1106" t="s">
        <v>1150</v>
      </c>
      <c r="B14" s="1106"/>
      <c r="C14" s="1106"/>
      <c r="D14" s="1107">
        <f>SUM(D5:D13)</f>
        <v>30</v>
      </c>
      <c r="E14" s="1106"/>
      <c r="F14" s="1108">
        <f>SUM(F5:F13)</f>
        <v>94500</v>
      </c>
      <c r="G14" s="1106"/>
      <c r="H14" s="1109">
        <f>SUM(H5:H13)</f>
        <v>2267055</v>
      </c>
      <c r="I14" s="1106"/>
      <c r="J14" s="1109">
        <f>SUM(J5:J13)</f>
        <v>33075</v>
      </c>
      <c r="K14" s="1109">
        <f>SUM(K5:K13)</f>
        <v>751275</v>
      </c>
      <c r="L14" s="1109">
        <f>SUM(L5:L13)</f>
        <v>226705.5</v>
      </c>
      <c r="N14" s="1114"/>
    </row>
    <row r="15" spans="1:14">
      <c r="A15" s="1101" t="s">
        <v>1060</v>
      </c>
      <c r="B15" s="1101" t="s">
        <v>1144</v>
      </c>
      <c r="C15" s="1101" t="s">
        <v>1145</v>
      </c>
      <c r="D15" s="1102">
        <f>'Frequency Inputs'!$C$12*'Frequency Inputs'!$C$16*'Frequency Inputs'!$C$27</f>
        <v>4</v>
      </c>
      <c r="E15" s="1103">
        <f>'Frequency Inputs'!$C$33*(1+'Frequency Inputs'!$C$37)^1</f>
        <v>12000</v>
      </c>
      <c r="F15" s="1103">
        <f t="shared" ref="F15:F23" si="3">D15*E15</f>
        <v>48000</v>
      </c>
      <c r="G15" s="1104">
        <f>'Frequency Inputs'!$C$22</f>
        <v>11.99</v>
      </c>
      <c r="H15" s="1105">
        <f t="shared" ref="H15:H23" si="4">F15*G15</f>
        <v>575520</v>
      </c>
      <c r="I15" s="1104">
        <f>'Frequency Inputs'!$C$44</f>
        <v>0.15</v>
      </c>
      <c r="J15" s="1105">
        <f t="shared" ref="J15:J23" si="5">F15*I15</f>
        <v>7200</v>
      </c>
      <c r="K15" s="1105">
        <f>F15*'Frequency Inputs'!$C$47</f>
        <v>381600</v>
      </c>
      <c r="L15" s="1105">
        <f>H15*'Frequency Inputs'!$C$48</f>
        <v>57552</v>
      </c>
    </row>
    <row r="16" spans="1:14">
      <c r="A16" s="1101" t="s">
        <v>1060</v>
      </c>
      <c r="B16" s="1101" t="s">
        <v>1144</v>
      </c>
      <c r="C16" s="1101" t="s">
        <v>1146</v>
      </c>
      <c r="D16" s="1102">
        <f>'Frequency Inputs'!$C$12*'Frequency Inputs'!$C$16*'Frequency Inputs'!$C$28</f>
        <v>6</v>
      </c>
      <c r="E16" s="1103">
        <f>'Frequency Inputs'!$C$34*(1+'Frequency Inputs'!$C$37)^1</f>
        <v>3600</v>
      </c>
      <c r="F16" s="1103">
        <f t="shared" si="3"/>
        <v>21600</v>
      </c>
      <c r="G16" s="1104">
        <f>'Frequency Inputs'!$C$22</f>
        <v>11.99</v>
      </c>
      <c r="H16" s="1105">
        <f t="shared" si="4"/>
        <v>258984</v>
      </c>
      <c r="I16" s="1104">
        <f>'Frequency Inputs'!$C$44</f>
        <v>0.15</v>
      </c>
      <c r="J16" s="1105">
        <f t="shared" si="5"/>
        <v>3240</v>
      </c>
      <c r="K16" s="1105">
        <f>F16*'Frequency Inputs'!$C$47</f>
        <v>171720</v>
      </c>
      <c r="L16" s="1105">
        <f>H16*'Frequency Inputs'!$C$48</f>
        <v>25898.400000000001</v>
      </c>
    </row>
    <row r="17" spans="1:12">
      <c r="A17" s="1101" t="s">
        <v>1060</v>
      </c>
      <c r="B17" s="1101" t="s">
        <v>1144</v>
      </c>
      <c r="C17" s="1101" t="s">
        <v>1147</v>
      </c>
      <c r="D17" s="1102">
        <f>'Frequency Inputs'!$C$12*'Frequency Inputs'!$C$16*'Frequency Inputs'!$C$29</f>
        <v>10</v>
      </c>
      <c r="E17" s="1103">
        <f>'Frequency Inputs'!$C$35*(1+'Frequency Inputs'!$C$37)^1</f>
        <v>600</v>
      </c>
      <c r="F17" s="1103">
        <f t="shared" si="3"/>
        <v>6000</v>
      </c>
      <c r="G17" s="1104">
        <f>'Frequency Inputs'!$C$22</f>
        <v>11.99</v>
      </c>
      <c r="H17" s="1105">
        <f t="shared" si="4"/>
        <v>71940</v>
      </c>
      <c r="I17" s="1104">
        <f>'Frequency Inputs'!$C$44</f>
        <v>0.15</v>
      </c>
      <c r="J17" s="1105">
        <f t="shared" si="5"/>
        <v>900</v>
      </c>
      <c r="K17" s="1105">
        <f>F17*'Frequency Inputs'!$C$47</f>
        <v>47700</v>
      </c>
      <c r="L17" s="1105">
        <f>H17*'Frequency Inputs'!$C$48</f>
        <v>7194</v>
      </c>
    </row>
    <row r="18" spans="1:12">
      <c r="A18" s="1101" t="s">
        <v>1060</v>
      </c>
      <c r="B18" s="1101" t="s">
        <v>1148</v>
      </c>
      <c r="C18" s="1101" t="s">
        <v>1145</v>
      </c>
      <c r="D18" s="1102">
        <f>'Frequency Inputs'!$C$12*'Frequency Inputs'!$C$17*'Frequency Inputs'!$C$27</f>
        <v>4</v>
      </c>
      <c r="E18" s="1103">
        <f>'Frequency Inputs'!$C$33*(1+'Frequency Inputs'!$C$37)^1</f>
        <v>12000</v>
      </c>
      <c r="F18" s="1103">
        <f t="shared" si="3"/>
        <v>48000</v>
      </c>
      <c r="G18" s="1104">
        <f>'Frequency Inputs'!$C$23</f>
        <v>24.99</v>
      </c>
      <c r="H18" s="1105">
        <f t="shared" si="4"/>
        <v>1199520</v>
      </c>
      <c r="I18" s="1104">
        <f>'Frequency Inputs'!$C$45</f>
        <v>0.35</v>
      </c>
      <c r="J18" s="1105">
        <f t="shared" si="5"/>
        <v>16800</v>
      </c>
      <c r="K18" s="1105">
        <f>F18*'Frequency Inputs'!$C$47</f>
        <v>381600</v>
      </c>
      <c r="L18" s="1105">
        <f>H18*'Frequency Inputs'!$C$48</f>
        <v>119952</v>
      </c>
    </row>
    <row r="19" spans="1:12">
      <c r="A19" s="1101" t="s">
        <v>1060</v>
      </c>
      <c r="B19" s="1101" t="s">
        <v>1148</v>
      </c>
      <c r="C19" s="1101" t="s">
        <v>1146</v>
      </c>
      <c r="D19" s="1102">
        <f>'Frequency Inputs'!$C$12*'Frequency Inputs'!$C$17*'Frequency Inputs'!$C$28</f>
        <v>6</v>
      </c>
      <c r="E19" s="1103">
        <f>'Frequency Inputs'!$C$34*(1+'Frequency Inputs'!$C$37)^1</f>
        <v>3600</v>
      </c>
      <c r="F19" s="1103">
        <f t="shared" si="3"/>
        <v>21600</v>
      </c>
      <c r="G19" s="1104">
        <f>'Frequency Inputs'!$C$23</f>
        <v>24.99</v>
      </c>
      <c r="H19" s="1105">
        <f t="shared" si="4"/>
        <v>539784</v>
      </c>
      <c r="I19" s="1104">
        <f>'Frequency Inputs'!$C$45</f>
        <v>0.35</v>
      </c>
      <c r="J19" s="1105">
        <f t="shared" si="5"/>
        <v>7559.9999999999991</v>
      </c>
      <c r="K19" s="1105">
        <f>F19*'Frequency Inputs'!$C$47</f>
        <v>171720</v>
      </c>
      <c r="L19" s="1105">
        <f>H19*'Frequency Inputs'!$C$48</f>
        <v>53978.400000000001</v>
      </c>
    </row>
    <row r="20" spans="1:12">
      <c r="A20" s="1101" t="s">
        <v>1060</v>
      </c>
      <c r="B20" s="1101" t="s">
        <v>1148</v>
      </c>
      <c r="C20" s="1101" t="s">
        <v>1147</v>
      </c>
      <c r="D20" s="1102">
        <f>'Frequency Inputs'!$C$12*'Frequency Inputs'!$C$17*'Frequency Inputs'!$C$29</f>
        <v>10</v>
      </c>
      <c r="E20" s="1103">
        <f>'Frequency Inputs'!$C$35*(1+'Frequency Inputs'!$C$37)^1</f>
        <v>600</v>
      </c>
      <c r="F20" s="1103">
        <f t="shared" si="3"/>
        <v>6000</v>
      </c>
      <c r="G20" s="1104">
        <f>'Frequency Inputs'!$C$23</f>
        <v>24.99</v>
      </c>
      <c r="H20" s="1105">
        <f t="shared" si="4"/>
        <v>149940</v>
      </c>
      <c r="I20" s="1104">
        <f>'Frequency Inputs'!$C$45</f>
        <v>0.35</v>
      </c>
      <c r="J20" s="1105">
        <f t="shared" si="5"/>
        <v>2100</v>
      </c>
      <c r="K20" s="1105">
        <f>F20*'Frequency Inputs'!$C$47</f>
        <v>47700</v>
      </c>
      <c r="L20" s="1105">
        <f>H20*'Frequency Inputs'!$C$48</f>
        <v>14994</v>
      </c>
    </row>
    <row r="21" spans="1:12">
      <c r="A21" s="1101" t="s">
        <v>1060</v>
      </c>
      <c r="B21" s="1101" t="s">
        <v>1149</v>
      </c>
      <c r="C21" s="1101" t="s">
        <v>1145</v>
      </c>
      <c r="D21" s="1102">
        <f>'Frequency Inputs'!$C$12*'Frequency Inputs'!$C$18*'Frequency Inputs'!$C$27</f>
        <v>4</v>
      </c>
      <c r="E21" s="1103">
        <f>'Frequency Inputs'!$C$33*(1+'Frequency Inputs'!$C$37)^1</f>
        <v>12000</v>
      </c>
      <c r="F21" s="1103">
        <f t="shared" si="3"/>
        <v>48000</v>
      </c>
      <c r="G21" s="1104">
        <f>'Frequency Inputs'!$C$24</f>
        <v>34.99</v>
      </c>
      <c r="H21" s="1105">
        <f t="shared" si="4"/>
        <v>1679520</v>
      </c>
      <c r="I21" s="1104">
        <f>'Frequency Inputs'!$C$46</f>
        <v>0.55000000000000004</v>
      </c>
      <c r="J21" s="1105">
        <f t="shared" si="5"/>
        <v>26400.000000000004</v>
      </c>
      <c r="K21" s="1105">
        <f>F21*'Frequency Inputs'!$C$47</f>
        <v>381600</v>
      </c>
      <c r="L21" s="1105">
        <f>H21*'Frequency Inputs'!$C$48</f>
        <v>167952</v>
      </c>
    </row>
    <row r="22" spans="1:12">
      <c r="A22" s="1101" t="s">
        <v>1060</v>
      </c>
      <c r="B22" s="1101" t="s">
        <v>1149</v>
      </c>
      <c r="C22" s="1101" t="s">
        <v>1146</v>
      </c>
      <c r="D22" s="1102">
        <f>'Frequency Inputs'!$C$12*'Frequency Inputs'!$C$18*'Frequency Inputs'!$C$28</f>
        <v>6</v>
      </c>
      <c r="E22" s="1103">
        <f>'Frequency Inputs'!$C$34*(1+'Frequency Inputs'!$C$37)^1</f>
        <v>3600</v>
      </c>
      <c r="F22" s="1103">
        <f t="shared" si="3"/>
        <v>21600</v>
      </c>
      <c r="G22" s="1104">
        <f>'Frequency Inputs'!$C$24</f>
        <v>34.99</v>
      </c>
      <c r="H22" s="1105">
        <f t="shared" si="4"/>
        <v>755784</v>
      </c>
      <c r="I22" s="1104">
        <f>'Frequency Inputs'!$C$46</f>
        <v>0.55000000000000004</v>
      </c>
      <c r="J22" s="1105">
        <f t="shared" si="5"/>
        <v>11880.000000000002</v>
      </c>
      <c r="K22" s="1105">
        <f>F22*'Frequency Inputs'!$C$47</f>
        <v>171720</v>
      </c>
      <c r="L22" s="1105">
        <f>H22*'Frequency Inputs'!$C$48</f>
        <v>75578.400000000009</v>
      </c>
    </row>
    <row r="23" spans="1:12">
      <c r="A23" s="1101" t="s">
        <v>1060</v>
      </c>
      <c r="B23" s="1101" t="s">
        <v>1149</v>
      </c>
      <c r="C23" s="1101" t="s">
        <v>1147</v>
      </c>
      <c r="D23" s="1102">
        <f>'Frequency Inputs'!$C$12*'Frequency Inputs'!$C$18*'Frequency Inputs'!$C$29</f>
        <v>10</v>
      </c>
      <c r="E23" s="1103">
        <f>'Frequency Inputs'!$C$35*(1+'Frequency Inputs'!$C$37)^1</f>
        <v>600</v>
      </c>
      <c r="F23" s="1103">
        <f t="shared" si="3"/>
        <v>6000</v>
      </c>
      <c r="G23" s="1104">
        <f>'Frequency Inputs'!$C$24</f>
        <v>34.99</v>
      </c>
      <c r="H23" s="1105">
        <f t="shared" si="4"/>
        <v>209940</v>
      </c>
      <c r="I23" s="1104">
        <f>'Frequency Inputs'!$C$46</f>
        <v>0.55000000000000004</v>
      </c>
      <c r="J23" s="1105">
        <f t="shared" si="5"/>
        <v>3300.0000000000005</v>
      </c>
      <c r="K23" s="1105">
        <f>F23*'Frequency Inputs'!$C$47</f>
        <v>47700</v>
      </c>
      <c r="L23" s="1105">
        <f>H23*'Frequency Inputs'!$C$48</f>
        <v>20994</v>
      </c>
    </row>
    <row r="24" spans="1:12">
      <c r="A24" s="1106" t="s">
        <v>1151</v>
      </c>
      <c r="B24" s="1106"/>
      <c r="C24" s="1106"/>
      <c r="D24" s="1107">
        <f>SUM(D15:D23)</f>
        <v>60</v>
      </c>
      <c r="E24" s="1106"/>
      <c r="F24" s="1108">
        <f>SUM(F15:F23)</f>
        <v>226800</v>
      </c>
      <c r="G24" s="1106"/>
      <c r="H24" s="1109">
        <f>SUM(H15:H23)</f>
        <v>5440932</v>
      </c>
      <c r="I24" s="1106"/>
      <c r="J24" s="1109">
        <f>SUM(J15:J23)</f>
        <v>79380</v>
      </c>
      <c r="K24" s="1109">
        <f>SUM(K15:K23)</f>
        <v>1803060</v>
      </c>
      <c r="L24" s="1109">
        <f>SUM(L15:L23)</f>
        <v>544093.19999999995</v>
      </c>
    </row>
    <row r="25" spans="1:12">
      <c r="A25" s="1101" t="s">
        <v>1062</v>
      </c>
      <c r="B25" s="1101" t="s">
        <v>1144</v>
      </c>
      <c r="C25" s="1101" t="s">
        <v>1145</v>
      </c>
      <c r="D25" s="1102">
        <f>'Frequency Inputs'!$C$13*'Frequency Inputs'!$C$16*'Frequency Inputs'!$C$27</f>
        <v>6</v>
      </c>
      <c r="E25" s="1103">
        <f>'Frequency Inputs'!$C$33*(1+'Frequency Inputs'!$C$37)^2</f>
        <v>14400</v>
      </c>
      <c r="F25" s="1103">
        <f t="shared" ref="F25:F33" si="6">D25*E25</f>
        <v>86400</v>
      </c>
      <c r="G25" s="1104">
        <f>'Frequency Inputs'!$C$22</f>
        <v>11.99</v>
      </c>
      <c r="H25" s="1105">
        <f t="shared" ref="H25:H33" si="7">F25*G25</f>
        <v>1035936</v>
      </c>
      <c r="I25" s="1104">
        <f>'Frequency Inputs'!$C$44</f>
        <v>0.15</v>
      </c>
      <c r="J25" s="1105">
        <f t="shared" ref="J25:J33" si="8">F25*I25</f>
        <v>12960</v>
      </c>
      <c r="K25" s="1105">
        <f>F25*'Frequency Inputs'!$C$47</f>
        <v>686880</v>
      </c>
      <c r="L25" s="1105">
        <f>H25*'Frequency Inputs'!$C$48</f>
        <v>103593.60000000001</v>
      </c>
    </row>
    <row r="26" spans="1:12">
      <c r="A26" s="1101" t="s">
        <v>1062</v>
      </c>
      <c r="B26" s="1101" t="s">
        <v>1144</v>
      </c>
      <c r="C26" s="1101" t="s">
        <v>1146</v>
      </c>
      <c r="D26" s="1102">
        <f>'Frequency Inputs'!$C$13*'Frequency Inputs'!$C$16*'Frequency Inputs'!$C$28</f>
        <v>9</v>
      </c>
      <c r="E26" s="1103">
        <f>'Frequency Inputs'!$C$34*(1+'Frequency Inputs'!$C$37)^2</f>
        <v>4320</v>
      </c>
      <c r="F26" s="1103">
        <f t="shared" si="6"/>
        <v>38880</v>
      </c>
      <c r="G26" s="1104">
        <f>'Frequency Inputs'!$C$22</f>
        <v>11.99</v>
      </c>
      <c r="H26" s="1105">
        <f t="shared" si="7"/>
        <v>466171.2</v>
      </c>
      <c r="I26" s="1104">
        <f>'Frequency Inputs'!$C$44</f>
        <v>0.15</v>
      </c>
      <c r="J26" s="1105">
        <f t="shared" si="8"/>
        <v>5832</v>
      </c>
      <c r="K26" s="1105">
        <f>F26*'Frequency Inputs'!$C$47</f>
        <v>309096</v>
      </c>
      <c r="L26" s="1105">
        <f>H26*'Frequency Inputs'!$C$48</f>
        <v>46617.120000000003</v>
      </c>
    </row>
    <row r="27" spans="1:12">
      <c r="A27" s="1101" t="s">
        <v>1062</v>
      </c>
      <c r="B27" s="1101" t="s">
        <v>1144</v>
      </c>
      <c r="C27" s="1101" t="s">
        <v>1147</v>
      </c>
      <c r="D27" s="1102">
        <f>'Frequency Inputs'!$C$13*'Frequency Inputs'!$C$16*'Frequency Inputs'!$C$29</f>
        <v>15</v>
      </c>
      <c r="E27" s="1103">
        <f>'Frequency Inputs'!$C$35*(1+'Frequency Inputs'!$C$37)^2</f>
        <v>720</v>
      </c>
      <c r="F27" s="1103">
        <f t="shared" si="6"/>
        <v>10800</v>
      </c>
      <c r="G27" s="1104">
        <f>'Frequency Inputs'!$C$22</f>
        <v>11.99</v>
      </c>
      <c r="H27" s="1105">
        <f t="shared" si="7"/>
        <v>129492</v>
      </c>
      <c r="I27" s="1104">
        <f>'Frequency Inputs'!$C$44</f>
        <v>0.15</v>
      </c>
      <c r="J27" s="1105">
        <f t="shared" si="8"/>
        <v>1620</v>
      </c>
      <c r="K27" s="1105">
        <f>F27*'Frequency Inputs'!$C$47</f>
        <v>85860</v>
      </c>
      <c r="L27" s="1105">
        <f>H27*'Frequency Inputs'!$C$48</f>
        <v>12949.2</v>
      </c>
    </row>
    <row r="28" spans="1:12">
      <c r="A28" s="1101" t="s">
        <v>1062</v>
      </c>
      <c r="B28" s="1101" t="s">
        <v>1148</v>
      </c>
      <c r="C28" s="1101" t="s">
        <v>1145</v>
      </c>
      <c r="D28" s="1102">
        <f>'Frequency Inputs'!$C$13*'Frequency Inputs'!$C$17*'Frequency Inputs'!$C$27</f>
        <v>6</v>
      </c>
      <c r="E28" s="1103">
        <f>'Frequency Inputs'!$C$33*(1+'Frequency Inputs'!$C$37)^2</f>
        <v>14400</v>
      </c>
      <c r="F28" s="1103">
        <f t="shared" si="6"/>
        <v>86400</v>
      </c>
      <c r="G28" s="1104">
        <f>'Frequency Inputs'!$C$23</f>
        <v>24.99</v>
      </c>
      <c r="H28" s="1105">
        <f t="shared" si="7"/>
        <v>2159136</v>
      </c>
      <c r="I28" s="1104">
        <f>'Frequency Inputs'!$C$45</f>
        <v>0.35</v>
      </c>
      <c r="J28" s="1105">
        <f t="shared" si="8"/>
        <v>30239.999999999996</v>
      </c>
      <c r="K28" s="1105">
        <f>F28*'Frequency Inputs'!$C$47</f>
        <v>686880</v>
      </c>
      <c r="L28" s="1105">
        <f>H28*'Frequency Inputs'!$C$48</f>
        <v>215913.60000000001</v>
      </c>
    </row>
    <row r="29" spans="1:12">
      <c r="A29" s="1101" t="s">
        <v>1062</v>
      </c>
      <c r="B29" s="1101" t="s">
        <v>1148</v>
      </c>
      <c r="C29" s="1101" t="s">
        <v>1146</v>
      </c>
      <c r="D29" s="1102">
        <f>'Frequency Inputs'!$C$13*'Frequency Inputs'!$C$17*'Frequency Inputs'!$C$28</f>
        <v>9</v>
      </c>
      <c r="E29" s="1103">
        <f>'Frequency Inputs'!$C$34*(1+'Frequency Inputs'!$C$37)^2</f>
        <v>4320</v>
      </c>
      <c r="F29" s="1103">
        <f t="shared" si="6"/>
        <v>38880</v>
      </c>
      <c r="G29" s="1104">
        <f>'Frequency Inputs'!$C$23</f>
        <v>24.99</v>
      </c>
      <c r="H29" s="1105">
        <f t="shared" si="7"/>
        <v>971611.2</v>
      </c>
      <c r="I29" s="1104">
        <f>'Frequency Inputs'!$C$45</f>
        <v>0.35</v>
      </c>
      <c r="J29" s="1105">
        <f t="shared" si="8"/>
        <v>13608</v>
      </c>
      <c r="K29" s="1105">
        <f>F29*'Frequency Inputs'!$C$47</f>
        <v>309096</v>
      </c>
      <c r="L29" s="1105">
        <f>H29*'Frequency Inputs'!$C$48</f>
        <v>97161.12</v>
      </c>
    </row>
    <row r="30" spans="1:12">
      <c r="A30" s="1101" t="s">
        <v>1062</v>
      </c>
      <c r="B30" s="1101" t="s">
        <v>1148</v>
      </c>
      <c r="C30" s="1101" t="s">
        <v>1147</v>
      </c>
      <c r="D30" s="1102">
        <f>'Frequency Inputs'!$C$13*'Frequency Inputs'!$C$17*'Frequency Inputs'!$C$29</f>
        <v>15</v>
      </c>
      <c r="E30" s="1103">
        <f>'Frequency Inputs'!$C$35*(1+'Frequency Inputs'!$C$37)^2</f>
        <v>720</v>
      </c>
      <c r="F30" s="1103">
        <f t="shared" si="6"/>
        <v>10800</v>
      </c>
      <c r="G30" s="1104">
        <f>'Frequency Inputs'!$C$23</f>
        <v>24.99</v>
      </c>
      <c r="H30" s="1105">
        <f t="shared" si="7"/>
        <v>269892</v>
      </c>
      <c r="I30" s="1104">
        <f>'Frequency Inputs'!$C$45</f>
        <v>0.35</v>
      </c>
      <c r="J30" s="1105">
        <f t="shared" si="8"/>
        <v>3779.9999999999995</v>
      </c>
      <c r="K30" s="1105">
        <f>F30*'Frequency Inputs'!$C$47</f>
        <v>85860</v>
      </c>
      <c r="L30" s="1105">
        <f>H30*'Frequency Inputs'!$C$48</f>
        <v>26989.200000000001</v>
      </c>
    </row>
    <row r="31" spans="1:12">
      <c r="A31" s="1101" t="s">
        <v>1062</v>
      </c>
      <c r="B31" s="1101" t="s">
        <v>1149</v>
      </c>
      <c r="C31" s="1101" t="s">
        <v>1145</v>
      </c>
      <c r="D31" s="1102">
        <f>'Frequency Inputs'!$C$13*'Frequency Inputs'!$C$18*'Frequency Inputs'!$C$27</f>
        <v>6</v>
      </c>
      <c r="E31" s="1103">
        <f>'Frequency Inputs'!$C$33*(1+'Frequency Inputs'!$C$37)^2</f>
        <v>14400</v>
      </c>
      <c r="F31" s="1103">
        <f t="shared" si="6"/>
        <v>86400</v>
      </c>
      <c r="G31" s="1104">
        <f>'Frequency Inputs'!$C$24</f>
        <v>34.99</v>
      </c>
      <c r="H31" s="1105">
        <f t="shared" si="7"/>
        <v>3023136</v>
      </c>
      <c r="I31" s="1104">
        <f>'Frequency Inputs'!$C$46</f>
        <v>0.55000000000000004</v>
      </c>
      <c r="J31" s="1105">
        <f t="shared" si="8"/>
        <v>47520.000000000007</v>
      </c>
      <c r="K31" s="1105">
        <f>F31*'Frequency Inputs'!$C$47</f>
        <v>686880</v>
      </c>
      <c r="L31" s="1105">
        <f>H31*'Frequency Inputs'!$C$48</f>
        <v>302313.60000000003</v>
      </c>
    </row>
    <row r="32" spans="1:12">
      <c r="A32" s="1101" t="s">
        <v>1062</v>
      </c>
      <c r="B32" s="1101" t="s">
        <v>1149</v>
      </c>
      <c r="C32" s="1101" t="s">
        <v>1146</v>
      </c>
      <c r="D32" s="1102">
        <f>'Frequency Inputs'!$C$13*'Frequency Inputs'!$C$18*'Frequency Inputs'!$C$28</f>
        <v>9</v>
      </c>
      <c r="E32" s="1103">
        <f>'Frequency Inputs'!$C$34*(1+'Frequency Inputs'!$C$37)^2</f>
        <v>4320</v>
      </c>
      <c r="F32" s="1103">
        <f t="shared" si="6"/>
        <v>38880</v>
      </c>
      <c r="G32" s="1104">
        <f>'Frequency Inputs'!$C$24</f>
        <v>34.99</v>
      </c>
      <c r="H32" s="1105">
        <f t="shared" si="7"/>
        <v>1360411.2000000002</v>
      </c>
      <c r="I32" s="1104">
        <f>'Frequency Inputs'!$C$46</f>
        <v>0.55000000000000004</v>
      </c>
      <c r="J32" s="1105">
        <f t="shared" si="8"/>
        <v>21384</v>
      </c>
      <c r="K32" s="1105">
        <f>F32*'Frequency Inputs'!$C$47</f>
        <v>309096</v>
      </c>
      <c r="L32" s="1105">
        <f>H32*'Frequency Inputs'!$C$48</f>
        <v>136041.12000000002</v>
      </c>
    </row>
    <row r="33" spans="1:12">
      <c r="A33" s="1101" t="s">
        <v>1062</v>
      </c>
      <c r="B33" s="1101" t="s">
        <v>1149</v>
      </c>
      <c r="C33" s="1101" t="s">
        <v>1147</v>
      </c>
      <c r="D33" s="1102">
        <f>'Frequency Inputs'!$C$13*'Frequency Inputs'!$C$18*'Frequency Inputs'!$C$29</f>
        <v>15</v>
      </c>
      <c r="E33" s="1103">
        <f>'Frequency Inputs'!$C$35*(1+'Frequency Inputs'!$C$37)^2</f>
        <v>720</v>
      </c>
      <c r="F33" s="1103">
        <f t="shared" si="6"/>
        <v>10800</v>
      </c>
      <c r="G33" s="1104">
        <f>'Frequency Inputs'!$C$24</f>
        <v>34.99</v>
      </c>
      <c r="H33" s="1105">
        <f t="shared" si="7"/>
        <v>377892</v>
      </c>
      <c r="I33" s="1104">
        <f>'Frequency Inputs'!$C$46</f>
        <v>0.55000000000000004</v>
      </c>
      <c r="J33" s="1105">
        <f t="shared" si="8"/>
        <v>5940.0000000000009</v>
      </c>
      <c r="K33" s="1105">
        <f>F33*'Frequency Inputs'!$C$47</f>
        <v>85860</v>
      </c>
      <c r="L33" s="1105">
        <f>H33*'Frequency Inputs'!$C$48</f>
        <v>37789.200000000004</v>
      </c>
    </row>
    <row r="34" spans="1:12">
      <c r="A34" s="1106" t="s">
        <v>1152</v>
      </c>
      <c r="B34" s="1106"/>
      <c r="C34" s="1106"/>
      <c r="D34" s="1107">
        <f>SUM(D25:D33)</f>
        <v>90</v>
      </c>
      <c r="E34" s="1106"/>
      <c r="F34" s="1108">
        <f>SUM(F25:F33)</f>
        <v>408240</v>
      </c>
      <c r="G34" s="1106"/>
      <c r="H34" s="1109">
        <f>SUM(H25:H33)</f>
        <v>9793677.6000000015</v>
      </c>
      <c r="I34" s="1106"/>
      <c r="J34" s="1109">
        <f>SUM(J25:J33)</f>
        <v>142884</v>
      </c>
      <c r="K34" s="1109">
        <f>SUM(K25:K33)</f>
        <v>3245508</v>
      </c>
      <c r="L34" s="1109">
        <f>SUM(L25:L33)</f>
        <v>979367.76</v>
      </c>
    </row>
    <row r="35" spans="1:12">
      <c r="A35" s="1110" t="s">
        <v>1153</v>
      </c>
      <c r="B35" s="1110"/>
      <c r="C35" s="1110"/>
      <c r="D35" s="1111">
        <f>D14+D24+D34</f>
        <v>180</v>
      </c>
      <c r="E35" s="1110"/>
      <c r="F35" s="1112">
        <f>F14+F24+F34</f>
        <v>729540</v>
      </c>
      <c r="G35" s="1110"/>
      <c r="H35" s="1113">
        <f>H14+H24+H34</f>
        <v>17501664.600000001</v>
      </c>
      <c r="I35" s="1110"/>
      <c r="J35" s="1113">
        <f>J14+J24+J34</f>
        <v>255339</v>
      </c>
      <c r="K35" s="1113">
        <f>K14+K24+K34</f>
        <v>5799843</v>
      </c>
      <c r="L35" s="1113">
        <f>L14+L24+L34</f>
        <v>1750166.46</v>
      </c>
    </row>
    <row r="37" spans="1:12" ht="30" customHeight="1">
      <c r="A37" s="1204"/>
      <c r="B37" s="1204"/>
      <c r="C37" s="1204"/>
      <c r="D37" s="1205"/>
      <c r="E37" s="1205"/>
      <c r="F37" s="1205"/>
      <c r="G37" s="1206"/>
      <c r="H37" s="1206"/>
      <c r="I37" s="1206"/>
      <c r="J37" s="1206"/>
      <c r="K37" s="1206"/>
      <c r="L37" s="1206"/>
    </row>
  </sheetData>
  <mergeCells count="3">
    <mergeCell ref="A37:C37"/>
    <mergeCell ref="D37:F37"/>
    <mergeCell ref="G37:L37"/>
  </mergeCells>
  <conditionalFormatting sqref="D37">
    <cfRule type="expression" dxfId="1" priority="1">
      <formula>LEFT(D37,2)="OK"</formula>
    </cfRule>
    <cfRule type="expression" dxfId="0" priority="2">
      <formula>LEFT(D37,2)="OK"=0</formula>
    </cfRule>
  </conditionalFormatting>
  <pageMargins left="0.4" right="0.4" top="0.5" bottom="0.5" header="0.511811023622047" footer="0.511811023622047"/>
  <pageSetup fitToHeight="0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/>
  </sheetViews>
  <sheetFormatPr baseColWidth="10" defaultColWidth="12.5" defaultRowHeight="15" customHeight="1"/>
  <cols>
    <col min="1" max="1" width="36.5" customWidth="1"/>
    <col min="2" max="2" width="16.5" customWidth="1"/>
    <col min="3" max="4" width="17.33203125" customWidth="1"/>
    <col min="5" max="5" width="57.6640625" customWidth="1"/>
    <col min="6" max="26" width="9.5" customWidth="1"/>
  </cols>
  <sheetData>
    <row r="1" spans="1:5">
      <c r="A1" s="126" t="s">
        <v>251</v>
      </c>
      <c r="B1" s="126" t="s">
        <v>252</v>
      </c>
      <c r="C1" s="126" t="s">
        <v>253</v>
      </c>
      <c r="D1" s="126" t="s">
        <v>254</v>
      </c>
      <c r="E1" s="126" t="s">
        <v>255</v>
      </c>
    </row>
    <row r="2" spans="1:5">
      <c r="A2" s="127" t="s">
        <v>256</v>
      </c>
      <c r="B2" s="7" t="s">
        <v>257</v>
      </c>
      <c r="C2" s="7" t="s">
        <v>258</v>
      </c>
      <c r="D2" s="128">
        <v>100</v>
      </c>
      <c r="E2" s="7" t="s">
        <v>259</v>
      </c>
    </row>
    <row r="3" spans="1:5">
      <c r="A3" s="127" t="s">
        <v>260</v>
      </c>
      <c r="B3" s="7" t="s">
        <v>261</v>
      </c>
      <c r="C3" s="7" t="s">
        <v>262</v>
      </c>
      <c r="D3" s="128">
        <v>165</v>
      </c>
      <c r="E3" s="7" t="s">
        <v>263</v>
      </c>
    </row>
    <row r="4" spans="1:5">
      <c r="A4" s="127" t="s">
        <v>264</v>
      </c>
      <c r="B4" s="7" t="s">
        <v>265</v>
      </c>
      <c r="C4" s="7" t="s">
        <v>266</v>
      </c>
      <c r="D4" s="128">
        <v>100</v>
      </c>
      <c r="E4" s="7" t="s">
        <v>267</v>
      </c>
    </row>
    <row r="5" spans="1:5">
      <c r="A5" s="127" t="s">
        <v>268</v>
      </c>
      <c r="B5" s="7" t="s">
        <v>269</v>
      </c>
      <c r="C5" s="7" t="s">
        <v>270</v>
      </c>
      <c r="D5" s="128">
        <v>300</v>
      </c>
      <c r="E5" s="7" t="s">
        <v>271</v>
      </c>
    </row>
    <row r="6" spans="1:5">
      <c r="A6" s="127" t="s">
        <v>272</v>
      </c>
      <c r="B6" s="7" t="s">
        <v>273</v>
      </c>
      <c r="C6" s="7" t="s">
        <v>274</v>
      </c>
      <c r="D6" s="128">
        <v>100</v>
      </c>
      <c r="E6" s="7" t="s">
        <v>275</v>
      </c>
    </row>
    <row r="7" spans="1:5">
      <c r="A7" s="129" t="s">
        <v>276</v>
      </c>
      <c r="B7" s="130"/>
      <c r="C7" s="129"/>
      <c r="D7" s="131">
        <f>SUM(D2:D6)</f>
        <v>765</v>
      </c>
    </row>
    <row r="8" spans="1:5">
      <c r="D8" s="128"/>
    </row>
    <row r="9" spans="1:5">
      <c r="B9" s="127"/>
      <c r="C9" s="127" t="s">
        <v>277</v>
      </c>
      <c r="D9" s="132">
        <v>1000</v>
      </c>
    </row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12.5" defaultRowHeight="15" customHeight="1"/>
  <cols>
    <col min="1" max="26" width="7.6640625" customWidth="1"/>
  </cols>
  <sheetData/>
  <pageMargins left="0.7" right="0.7" top="0.75" bottom="0.75" header="0" footer="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P19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2.5" defaultRowHeight="15" customHeight="1"/>
  <cols>
    <col min="1" max="1" width="2.6640625" customWidth="1"/>
    <col min="2" max="2" width="35" customWidth="1"/>
    <col min="3" max="4" width="9.5" customWidth="1"/>
    <col min="5" max="6" width="9.1640625" customWidth="1"/>
    <col min="7" max="7" width="10" customWidth="1"/>
    <col min="8" max="16" width="12.83203125" customWidth="1"/>
    <col min="17" max="17" width="3.83203125" customWidth="1"/>
    <col min="18" max="29" width="15.1640625" customWidth="1"/>
    <col min="30" max="30" width="3.5" customWidth="1"/>
    <col min="31" max="42" width="15.1640625" customWidth="1"/>
    <col min="43" max="43" width="3.5" customWidth="1"/>
    <col min="44" max="55" width="15.1640625" customWidth="1"/>
    <col min="56" max="56" width="2.83203125" customWidth="1"/>
    <col min="57" max="68" width="15.1640625" customWidth="1"/>
  </cols>
  <sheetData>
    <row r="1" spans="1:68" ht="13.5" customHeight="1">
      <c r="A1" s="1120" t="s">
        <v>356</v>
      </c>
      <c r="B1" s="1121"/>
      <c r="C1" s="1121"/>
      <c r="D1" s="146"/>
      <c r="E1" s="147"/>
      <c r="F1" s="147"/>
      <c r="G1" s="147"/>
      <c r="H1" s="147"/>
      <c r="I1" s="147"/>
      <c r="J1" s="147"/>
      <c r="K1" s="147"/>
      <c r="L1" s="147"/>
      <c r="M1" s="148"/>
      <c r="N1" s="148"/>
      <c r="O1" s="148"/>
      <c r="P1" s="148"/>
      <c r="Q1" s="148"/>
      <c r="R1" s="147"/>
      <c r="S1" s="147"/>
      <c r="T1" s="147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</row>
    <row r="2" spans="1:68" ht="13.5" customHeight="1">
      <c r="A2" s="149"/>
      <c r="B2" s="150"/>
      <c r="C2" s="151"/>
      <c r="D2" s="151"/>
      <c r="E2" s="152">
        <f>'P&amp;L - 1 Year'!C3</f>
        <v>45823</v>
      </c>
      <c r="F2" s="152">
        <f t="shared" ref="F2:P2" si="0">E2+30</f>
        <v>45853</v>
      </c>
      <c r="G2" s="152">
        <f t="shared" si="0"/>
        <v>45883</v>
      </c>
      <c r="H2" s="152">
        <f t="shared" si="0"/>
        <v>45913</v>
      </c>
      <c r="I2" s="152">
        <f t="shared" si="0"/>
        <v>45943</v>
      </c>
      <c r="J2" s="152">
        <f t="shared" si="0"/>
        <v>45973</v>
      </c>
      <c r="K2" s="152">
        <f t="shared" si="0"/>
        <v>46003</v>
      </c>
      <c r="L2" s="152">
        <f t="shared" si="0"/>
        <v>46033</v>
      </c>
      <c r="M2" s="152">
        <f t="shared" si="0"/>
        <v>46063</v>
      </c>
      <c r="N2" s="152">
        <f t="shared" si="0"/>
        <v>46093</v>
      </c>
      <c r="O2" s="152">
        <f t="shared" si="0"/>
        <v>46123</v>
      </c>
      <c r="P2" s="152">
        <f t="shared" si="0"/>
        <v>46153</v>
      </c>
      <c r="Q2" s="151"/>
      <c r="R2" s="152">
        <f>P2+30</f>
        <v>46183</v>
      </c>
      <c r="S2" s="152">
        <f t="shared" ref="S2:AC2" si="1">R2+30</f>
        <v>46213</v>
      </c>
      <c r="T2" s="152">
        <f t="shared" si="1"/>
        <v>46243</v>
      </c>
      <c r="U2" s="152">
        <f t="shared" si="1"/>
        <v>46273</v>
      </c>
      <c r="V2" s="152">
        <f t="shared" si="1"/>
        <v>46303</v>
      </c>
      <c r="W2" s="152">
        <f t="shared" si="1"/>
        <v>46333</v>
      </c>
      <c r="X2" s="152">
        <f t="shared" si="1"/>
        <v>46363</v>
      </c>
      <c r="Y2" s="152">
        <f t="shared" si="1"/>
        <v>46393</v>
      </c>
      <c r="Z2" s="152">
        <f t="shared" si="1"/>
        <v>46423</v>
      </c>
      <c r="AA2" s="152">
        <f t="shared" si="1"/>
        <v>46453</v>
      </c>
      <c r="AB2" s="152">
        <f t="shared" si="1"/>
        <v>46483</v>
      </c>
      <c r="AC2" s="152">
        <f t="shared" si="1"/>
        <v>46513</v>
      </c>
      <c r="AD2" s="151"/>
      <c r="AE2" s="152">
        <f>AC2+30</f>
        <v>46543</v>
      </c>
      <c r="AF2" s="152">
        <f t="shared" ref="AF2:AP2" si="2">AE2+30</f>
        <v>46573</v>
      </c>
      <c r="AG2" s="152">
        <f t="shared" si="2"/>
        <v>46603</v>
      </c>
      <c r="AH2" s="152">
        <f t="shared" si="2"/>
        <v>46633</v>
      </c>
      <c r="AI2" s="152">
        <f t="shared" si="2"/>
        <v>46663</v>
      </c>
      <c r="AJ2" s="152">
        <f t="shared" si="2"/>
        <v>46693</v>
      </c>
      <c r="AK2" s="152">
        <f t="shared" si="2"/>
        <v>46723</v>
      </c>
      <c r="AL2" s="152">
        <f t="shared" si="2"/>
        <v>46753</v>
      </c>
      <c r="AM2" s="152">
        <f t="shared" si="2"/>
        <v>46783</v>
      </c>
      <c r="AN2" s="152">
        <f t="shared" si="2"/>
        <v>46813</v>
      </c>
      <c r="AO2" s="152">
        <f t="shared" si="2"/>
        <v>46843</v>
      </c>
      <c r="AP2" s="152">
        <f t="shared" si="2"/>
        <v>46873</v>
      </c>
      <c r="AQ2" s="151"/>
      <c r="AR2" s="152">
        <f>AP2+30</f>
        <v>46903</v>
      </c>
      <c r="AS2" s="152">
        <f t="shared" ref="AS2:BC2" si="3">AR2+30</f>
        <v>46933</v>
      </c>
      <c r="AT2" s="152">
        <f t="shared" si="3"/>
        <v>46963</v>
      </c>
      <c r="AU2" s="152">
        <f t="shared" si="3"/>
        <v>46993</v>
      </c>
      <c r="AV2" s="152">
        <f t="shared" si="3"/>
        <v>47023</v>
      </c>
      <c r="AW2" s="152">
        <f t="shared" si="3"/>
        <v>47053</v>
      </c>
      <c r="AX2" s="152">
        <f t="shared" si="3"/>
        <v>47083</v>
      </c>
      <c r="AY2" s="152">
        <f t="shared" si="3"/>
        <v>47113</v>
      </c>
      <c r="AZ2" s="152">
        <f t="shared" si="3"/>
        <v>47143</v>
      </c>
      <c r="BA2" s="152">
        <f t="shared" si="3"/>
        <v>47173</v>
      </c>
      <c r="BB2" s="152">
        <f t="shared" si="3"/>
        <v>47203</v>
      </c>
      <c r="BC2" s="152">
        <f t="shared" si="3"/>
        <v>47233</v>
      </c>
      <c r="BD2" s="151"/>
      <c r="BE2" s="152">
        <f>BC2+30</f>
        <v>47263</v>
      </c>
      <c r="BF2" s="152">
        <f t="shared" ref="BF2:BP2" si="4">BE2+30</f>
        <v>47293</v>
      </c>
      <c r="BG2" s="152">
        <f t="shared" si="4"/>
        <v>47323</v>
      </c>
      <c r="BH2" s="152">
        <f t="shared" si="4"/>
        <v>47353</v>
      </c>
      <c r="BI2" s="152">
        <f t="shared" si="4"/>
        <v>47383</v>
      </c>
      <c r="BJ2" s="152">
        <f t="shared" si="4"/>
        <v>47413</v>
      </c>
      <c r="BK2" s="152">
        <f t="shared" si="4"/>
        <v>47443</v>
      </c>
      <c r="BL2" s="152">
        <f t="shared" si="4"/>
        <v>47473</v>
      </c>
      <c r="BM2" s="152">
        <f t="shared" si="4"/>
        <v>47503</v>
      </c>
      <c r="BN2" s="152">
        <f t="shared" si="4"/>
        <v>47533</v>
      </c>
      <c r="BO2" s="152">
        <f t="shared" si="4"/>
        <v>47563</v>
      </c>
      <c r="BP2" s="153">
        <f t="shared" si="4"/>
        <v>47593</v>
      </c>
    </row>
    <row r="3" spans="1:68" ht="13.5" customHeight="1">
      <c r="A3" s="154"/>
      <c r="B3" s="147"/>
      <c r="C3" s="148"/>
      <c r="D3" s="148"/>
      <c r="E3" s="147"/>
      <c r="F3" s="147"/>
      <c r="G3" s="147"/>
      <c r="H3" s="147"/>
      <c r="I3" s="147"/>
      <c r="J3" s="147"/>
      <c r="K3" s="147"/>
      <c r="L3" s="147"/>
      <c r="M3" s="148"/>
      <c r="N3" s="148"/>
      <c r="O3" s="148"/>
      <c r="P3" s="148"/>
      <c r="Q3" s="148"/>
      <c r="R3" s="147"/>
      <c r="S3" s="147"/>
      <c r="T3" s="147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</row>
    <row r="4" spans="1:68" ht="13.5" customHeight="1">
      <c r="A4" s="154" t="s">
        <v>357</v>
      </c>
      <c r="B4" s="147"/>
      <c r="C4" s="148"/>
      <c r="D4" s="148"/>
      <c r="E4" s="147"/>
      <c r="F4" s="147"/>
      <c r="G4" s="147"/>
      <c r="H4" s="147"/>
      <c r="I4" s="147"/>
      <c r="J4" s="147"/>
      <c r="K4" s="147"/>
      <c r="L4" s="147"/>
      <c r="M4" s="148"/>
      <c r="N4" s="148"/>
      <c r="O4" s="148"/>
      <c r="P4" s="148"/>
      <c r="Q4" s="148"/>
      <c r="R4" s="147"/>
      <c r="S4" s="147"/>
      <c r="T4" s="147"/>
      <c r="U4" s="147"/>
      <c r="V4" s="147"/>
      <c r="W4" s="147"/>
      <c r="X4" s="147"/>
      <c r="Y4" s="147"/>
      <c r="Z4" s="148"/>
      <c r="AA4" s="148"/>
      <c r="AB4" s="148"/>
      <c r="AC4" s="148"/>
      <c r="AD4" s="148"/>
      <c r="AE4" s="147"/>
      <c r="AF4" s="147"/>
      <c r="AG4" s="147"/>
      <c r="AH4" s="147"/>
      <c r="AI4" s="147"/>
      <c r="AJ4" s="147"/>
      <c r="AK4" s="147"/>
      <c r="AL4" s="147"/>
      <c r="AM4" s="148"/>
      <c r="AN4" s="148"/>
      <c r="AO4" s="148"/>
      <c r="AP4" s="148"/>
      <c r="AQ4" s="148"/>
      <c r="AR4" s="147"/>
      <c r="AS4" s="147"/>
      <c r="AT4" s="147"/>
      <c r="AU4" s="147"/>
      <c r="AV4" s="147"/>
      <c r="AW4" s="147"/>
      <c r="AX4" s="147"/>
      <c r="AY4" s="147"/>
      <c r="AZ4" s="148"/>
      <c r="BA4" s="148"/>
      <c r="BB4" s="148"/>
      <c r="BC4" s="148"/>
      <c r="BD4" s="148"/>
      <c r="BE4" s="147"/>
      <c r="BF4" s="147"/>
      <c r="BG4" s="147"/>
      <c r="BH4" s="147"/>
      <c r="BI4" s="147"/>
      <c r="BJ4" s="147"/>
      <c r="BK4" s="147"/>
      <c r="BL4" s="147"/>
      <c r="BM4" s="148"/>
      <c r="BN4" s="148"/>
      <c r="BO4" s="148"/>
      <c r="BP4" s="148"/>
    </row>
    <row r="5" spans="1:68" ht="13.5" customHeight="1">
      <c r="A5" s="154"/>
      <c r="B5" s="147" t="s">
        <v>358</v>
      </c>
      <c r="C5" s="148" t="s">
        <v>359</v>
      </c>
      <c r="D5" s="148" t="s">
        <v>360</v>
      </c>
      <c r="E5" s="147">
        <v>0</v>
      </c>
      <c r="F5" s="147">
        <f t="shared" ref="F5:P5" si="5">E8</f>
        <v>5</v>
      </c>
      <c r="G5" s="147">
        <f t="shared" si="5"/>
        <v>6</v>
      </c>
      <c r="H5" s="147">
        <f t="shared" si="5"/>
        <v>7</v>
      </c>
      <c r="I5" s="147">
        <f t="shared" si="5"/>
        <v>8</v>
      </c>
      <c r="J5" s="147">
        <f t="shared" si="5"/>
        <v>10</v>
      </c>
      <c r="K5" s="147">
        <f t="shared" si="5"/>
        <v>12</v>
      </c>
      <c r="L5" s="147">
        <f t="shared" si="5"/>
        <v>14</v>
      </c>
      <c r="M5" s="147">
        <f t="shared" si="5"/>
        <v>17</v>
      </c>
      <c r="N5" s="147">
        <f t="shared" si="5"/>
        <v>20</v>
      </c>
      <c r="O5" s="147">
        <f t="shared" si="5"/>
        <v>24</v>
      </c>
      <c r="P5" s="147">
        <f t="shared" si="5"/>
        <v>29</v>
      </c>
      <c r="Q5" s="148"/>
      <c r="R5" s="147">
        <f>P8</f>
        <v>35</v>
      </c>
      <c r="S5" s="147">
        <f t="shared" ref="S5:AC5" si="6">R8</f>
        <v>35</v>
      </c>
      <c r="T5" s="147">
        <f t="shared" si="6"/>
        <v>42</v>
      </c>
      <c r="U5" s="147">
        <f t="shared" si="6"/>
        <v>50</v>
      </c>
      <c r="V5" s="147">
        <f t="shared" si="6"/>
        <v>59</v>
      </c>
      <c r="W5" s="147">
        <f t="shared" si="6"/>
        <v>70</v>
      </c>
      <c r="X5" s="147">
        <f t="shared" si="6"/>
        <v>83</v>
      </c>
      <c r="Y5" s="147">
        <f t="shared" si="6"/>
        <v>99</v>
      </c>
      <c r="Z5" s="147">
        <f t="shared" si="6"/>
        <v>118</v>
      </c>
      <c r="AA5" s="147">
        <f t="shared" si="6"/>
        <v>141</v>
      </c>
      <c r="AB5" s="147">
        <f t="shared" si="6"/>
        <v>168</v>
      </c>
      <c r="AC5" s="147">
        <f t="shared" si="6"/>
        <v>200</v>
      </c>
      <c r="AD5" s="148"/>
      <c r="AE5" s="147">
        <f>AC8</f>
        <v>238</v>
      </c>
      <c r="AF5" s="147">
        <f t="shared" ref="AF5:AP5" si="7">AE8</f>
        <v>261</v>
      </c>
      <c r="AG5" s="147">
        <f t="shared" si="7"/>
        <v>286</v>
      </c>
      <c r="AH5" s="147">
        <f t="shared" si="7"/>
        <v>314</v>
      </c>
      <c r="AI5" s="147">
        <f t="shared" si="7"/>
        <v>343</v>
      </c>
      <c r="AJ5" s="147">
        <f t="shared" si="7"/>
        <v>375</v>
      </c>
      <c r="AK5" s="147">
        <f t="shared" si="7"/>
        <v>411</v>
      </c>
      <c r="AL5" s="147">
        <f t="shared" si="7"/>
        <v>450</v>
      </c>
      <c r="AM5" s="147">
        <f t="shared" si="7"/>
        <v>493</v>
      </c>
      <c r="AN5" s="147">
        <f t="shared" si="7"/>
        <v>540</v>
      </c>
      <c r="AO5" s="147">
        <f t="shared" si="7"/>
        <v>591</v>
      </c>
      <c r="AP5" s="147">
        <f t="shared" si="7"/>
        <v>647</v>
      </c>
      <c r="AQ5" s="148"/>
      <c r="AR5" s="147">
        <f>AP8</f>
        <v>709</v>
      </c>
      <c r="AS5" s="147">
        <f t="shared" ref="AS5:BC5" si="8">AR8</f>
        <v>776</v>
      </c>
      <c r="AT5" s="147">
        <f t="shared" si="8"/>
        <v>850</v>
      </c>
      <c r="AU5" s="147">
        <f t="shared" si="8"/>
        <v>931</v>
      </c>
      <c r="AV5" s="147">
        <f t="shared" si="8"/>
        <v>1019</v>
      </c>
      <c r="AW5" s="147">
        <f t="shared" si="8"/>
        <v>1116</v>
      </c>
      <c r="AX5" s="147">
        <f t="shared" si="8"/>
        <v>1222</v>
      </c>
      <c r="AY5" s="147">
        <f t="shared" si="8"/>
        <v>1338</v>
      </c>
      <c r="AZ5" s="147">
        <f t="shared" si="8"/>
        <v>1465</v>
      </c>
      <c r="BA5" s="147">
        <f t="shared" si="8"/>
        <v>1605</v>
      </c>
      <c r="BB5" s="147">
        <f t="shared" si="8"/>
        <v>1758</v>
      </c>
      <c r="BC5" s="147">
        <f t="shared" si="8"/>
        <v>1925</v>
      </c>
      <c r="BD5" s="148"/>
      <c r="BE5" s="147">
        <f>BC8</f>
        <v>2108</v>
      </c>
      <c r="BF5" s="147">
        <f t="shared" ref="BF5:BP5" si="9">BE8</f>
        <v>2308</v>
      </c>
      <c r="BG5" s="147">
        <f t="shared" si="9"/>
        <v>2527</v>
      </c>
      <c r="BH5" s="147">
        <f t="shared" si="9"/>
        <v>2767</v>
      </c>
      <c r="BI5" s="147">
        <f t="shared" si="9"/>
        <v>3030</v>
      </c>
      <c r="BJ5" s="147">
        <f t="shared" si="9"/>
        <v>3318</v>
      </c>
      <c r="BK5" s="147">
        <f t="shared" si="9"/>
        <v>3633</v>
      </c>
      <c r="BL5" s="147">
        <f t="shared" si="9"/>
        <v>3978</v>
      </c>
      <c r="BM5" s="147">
        <f t="shared" si="9"/>
        <v>4356</v>
      </c>
      <c r="BN5" s="147">
        <f t="shared" si="9"/>
        <v>4770</v>
      </c>
      <c r="BO5" s="147">
        <f t="shared" si="9"/>
        <v>5223</v>
      </c>
      <c r="BP5" s="147">
        <f t="shared" si="9"/>
        <v>5719</v>
      </c>
    </row>
    <row r="6" spans="1:68" ht="13.5" customHeight="1">
      <c r="A6" s="154"/>
      <c r="B6" s="147" t="s">
        <v>361</v>
      </c>
      <c r="C6" s="155">
        <v>0.2</v>
      </c>
      <c r="D6" s="155">
        <v>0.1</v>
      </c>
      <c r="E6" s="147">
        <v>5</v>
      </c>
      <c r="F6" s="147">
        <f t="shared" ref="F6:P6" si="10">ROUND(E8*$C$6,0)</f>
        <v>1</v>
      </c>
      <c r="G6" s="147">
        <f t="shared" si="10"/>
        <v>1</v>
      </c>
      <c r="H6" s="147">
        <f t="shared" si="10"/>
        <v>1</v>
      </c>
      <c r="I6" s="147">
        <f t="shared" si="10"/>
        <v>2</v>
      </c>
      <c r="J6" s="147">
        <f t="shared" si="10"/>
        <v>2</v>
      </c>
      <c r="K6" s="147">
        <f t="shared" si="10"/>
        <v>2</v>
      </c>
      <c r="L6" s="147">
        <f t="shared" si="10"/>
        <v>3</v>
      </c>
      <c r="M6" s="147">
        <f t="shared" si="10"/>
        <v>3</v>
      </c>
      <c r="N6" s="147">
        <f t="shared" si="10"/>
        <v>4</v>
      </c>
      <c r="O6" s="147">
        <f t="shared" si="10"/>
        <v>5</v>
      </c>
      <c r="P6" s="147">
        <f t="shared" si="10"/>
        <v>6</v>
      </c>
      <c r="Q6" s="148"/>
      <c r="R6" s="147">
        <f t="shared" ref="R6:AC6" si="11">ROUND(Q8*$C$6,0)</f>
        <v>0</v>
      </c>
      <c r="S6" s="147">
        <f t="shared" si="11"/>
        <v>7</v>
      </c>
      <c r="T6" s="147">
        <f t="shared" si="11"/>
        <v>8</v>
      </c>
      <c r="U6" s="147">
        <f t="shared" si="11"/>
        <v>10</v>
      </c>
      <c r="V6" s="147">
        <f t="shared" si="11"/>
        <v>12</v>
      </c>
      <c r="W6" s="147">
        <f t="shared" si="11"/>
        <v>14</v>
      </c>
      <c r="X6" s="147">
        <f t="shared" si="11"/>
        <v>17</v>
      </c>
      <c r="Y6" s="147">
        <f t="shared" si="11"/>
        <v>20</v>
      </c>
      <c r="Z6" s="147">
        <f t="shared" si="11"/>
        <v>24</v>
      </c>
      <c r="AA6" s="147">
        <f t="shared" si="11"/>
        <v>28</v>
      </c>
      <c r="AB6" s="147">
        <f t="shared" si="11"/>
        <v>34</v>
      </c>
      <c r="AC6" s="147">
        <f t="shared" si="11"/>
        <v>40</v>
      </c>
      <c r="AD6" s="148"/>
      <c r="AE6" s="147">
        <f>ROUND(AC8*$D$6,0)</f>
        <v>24</v>
      </c>
      <c r="AF6" s="147">
        <f t="shared" ref="AF6:AP6" si="12">ROUND(AE8*$D$6,0)</f>
        <v>26</v>
      </c>
      <c r="AG6" s="147">
        <f t="shared" si="12"/>
        <v>29</v>
      </c>
      <c r="AH6" s="147">
        <f t="shared" si="12"/>
        <v>31</v>
      </c>
      <c r="AI6" s="147">
        <f t="shared" si="12"/>
        <v>34</v>
      </c>
      <c r="AJ6" s="147">
        <f t="shared" si="12"/>
        <v>38</v>
      </c>
      <c r="AK6" s="147">
        <f t="shared" si="12"/>
        <v>41</v>
      </c>
      <c r="AL6" s="147">
        <f t="shared" si="12"/>
        <v>45</v>
      </c>
      <c r="AM6" s="147">
        <f t="shared" si="12"/>
        <v>49</v>
      </c>
      <c r="AN6" s="147">
        <f t="shared" si="12"/>
        <v>54</v>
      </c>
      <c r="AO6" s="147">
        <f t="shared" si="12"/>
        <v>59</v>
      </c>
      <c r="AP6" s="147">
        <f t="shared" si="12"/>
        <v>65</v>
      </c>
      <c r="AQ6" s="148"/>
      <c r="AR6" s="147">
        <f>ROUND(AP8*$D$6,0)</f>
        <v>71</v>
      </c>
      <c r="AS6" s="147">
        <f t="shared" ref="AS6:BC6" si="13">ROUND(AR8*$D$6,0)</f>
        <v>78</v>
      </c>
      <c r="AT6" s="147">
        <f t="shared" si="13"/>
        <v>85</v>
      </c>
      <c r="AU6" s="147">
        <f t="shared" si="13"/>
        <v>93</v>
      </c>
      <c r="AV6" s="147">
        <f t="shared" si="13"/>
        <v>102</v>
      </c>
      <c r="AW6" s="147">
        <f t="shared" si="13"/>
        <v>112</v>
      </c>
      <c r="AX6" s="147">
        <f t="shared" si="13"/>
        <v>122</v>
      </c>
      <c r="AY6" s="147">
        <f t="shared" si="13"/>
        <v>134</v>
      </c>
      <c r="AZ6" s="147">
        <f t="shared" si="13"/>
        <v>147</v>
      </c>
      <c r="BA6" s="147">
        <f t="shared" si="13"/>
        <v>161</v>
      </c>
      <c r="BB6" s="147">
        <f t="shared" si="13"/>
        <v>176</v>
      </c>
      <c r="BC6" s="147">
        <f t="shared" si="13"/>
        <v>193</v>
      </c>
      <c r="BD6" s="148"/>
      <c r="BE6" s="147">
        <f>ROUND(BC8*$D$6,0)</f>
        <v>211</v>
      </c>
      <c r="BF6" s="147">
        <f t="shared" ref="BF6:BP6" si="14">ROUND(BE8*$D$6,0)</f>
        <v>231</v>
      </c>
      <c r="BG6" s="147">
        <f t="shared" si="14"/>
        <v>253</v>
      </c>
      <c r="BH6" s="147">
        <f t="shared" si="14"/>
        <v>277</v>
      </c>
      <c r="BI6" s="147">
        <f t="shared" si="14"/>
        <v>303</v>
      </c>
      <c r="BJ6" s="147">
        <f t="shared" si="14"/>
        <v>332</v>
      </c>
      <c r="BK6" s="147">
        <f t="shared" si="14"/>
        <v>363</v>
      </c>
      <c r="BL6" s="147">
        <f t="shared" si="14"/>
        <v>398</v>
      </c>
      <c r="BM6" s="147">
        <f t="shared" si="14"/>
        <v>436</v>
      </c>
      <c r="BN6" s="147">
        <f t="shared" si="14"/>
        <v>477</v>
      </c>
      <c r="BO6" s="147">
        <f t="shared" si="14"/>
        <v>522</v>
      </c>
      <c r="BP6" s="147">
        <f t="shared" si="14"/>
        <v>572</v>
      </c>
    </row>
    <row r="7" spans="1:68" ht="13.5" customHeight="1">
      <c r="A7" s="154"/>
      <c r="B7" s="147" t="s">
        <v>362</v>
      </c>
      <c r="C7" s="155">
        <v>0.05</v>
      </c>
      <c r="D7" s="155">
        <v>0.05</v>
      </c>
      <c r="E7" s="147">
        <f t="shared" ref="E7:P7" si="15">-ROUND(E6*$D$7,0)</f>
        <v>0</v>
      </c>
      <c r="F7" s="147">
        <f t="shared" si="15"/>
        <v>0</v>
      </c>
      <c r="G7" s="147">
        <f t="shared" si="15"/>
        <v>0</v>
      </c>
      <c r="H7" s="147">
        <f t="shared" si="15"/>
        <v>0</v>
      </c>
      <c r="I7" s="147">
        <f t="shared" si="15"/>
        <v>0</v>
      </c>
      <c r="J7" s="147">
        <f t="shared" si="15"/>
        <v>0</v>
      </c>
      <c r="K7" s="147">
        <f t="shared" si="15"/>
        <v>0</v>
      </c>
      <c r="L7" s="147">
        <f t="shared" si="15"/>
        <v>0</v>
      </c>
      <c r="M7" s="147">
        <f t="shared" si="15"/>
        <v>0</v>
      </c>
      <c r="N7" s="147">
        <f t="shared" si="15"/>
        <v>0</v>
      </c>
      <c r="O7" s="147">
        <f t="shared" si="15"/>
        <v>0</v>
      </c>
      <c r="P7" s="147">
        <f t="shared" si="15"/>
        <v>0</v>
      </c>
      <c r="Q7" s="148"/>
      <c r="R7" s="147">
        <f t="shared" ref="R7:AC7" si="16">-ROUND(R6*$D$7,0)</f>
        <v>0</v>
      </c>
      <c r="S7" s="147">
        <f t="shared" si="16"/>
        <v>0</v>
      </c>
      <c r="T7" s="147">
        <f t="shared" si="16"/>
        <v>0</v>
      </c>
      <c r="U7" s="147">
        <f t="shared" si="16"/>
        <v>-1</v>
      </c>
      <c r="V7" s="147">
        <f t="shared" si="16"/>
        <v>-1</v>
      </c>
      <c r="W7" s="147">
        <f t="shared" si="16"/>
        <v>-1</v>
      </c>
      <c r="X7" s="147">
        <f t="shared" si="16"/>
        <v>-1</v>
      </c>
      <c r="Y7" s="147">
        <f t="shared" si="16"/>
        <v>-1</v>
      </c>
      <c r="Z7" s="147">
        <f t="shared" si="16"/>
        <v>-1</v>
      </c>
      <c r="AA7" s="147">
        <f t="shared" si="16"/>
        <v>-1</v>
      </c>
      <c r="AB7" s="147">
        <f t="shared" si="16"/>
        <v>-2</v>
      </c>
      <c r="AC7" s="147">
        <f t="shared" si="16"/>
        <v>-2</v>
      </c>
      <c r="AD7" s="148"/>
      <c r="AE7" s="147">
        <f t="shared" ref="AE7:AP7" si="17">-ROUND(AE6*$D$7,0)</f>
        <v>-1</v>
      </c>
      <c r="AF7" s="147">
        <f t="shared" si="17"/>
        <v>-1</v>
      </c>
      <c r="AG7" s="147">
        <f t="shared" si="17"/>
        <v>-1</v>
      </c>
      <c r="AH7" s="147">
        <f t="shared" si="17"/>
        <v>-2</v>
      </c>
      <c r="AI7" s="147">
        <f t="shared" si="17"/>
        <v>-2</v>
      </c>
      <c r="AJ7" s="147">
        <f t="shared" si="17"/>
        <v>-2</v>
      </c>
      <c r="AK7" s="147">
        <f t="shared" si="17"/>
        <v>-2</v>
      </c>
      <c r="AL7" s="147">
        <f t="shared" si="17"/>
        <v>-2</v>
      </c>
      <c r="AM7" s="147">
        <f t="shared" si="17"/>
        <v>-2</v>
      </c>
      <c r="AN7" s="147">
        <f t="shared" si="17"/>
        <v>-3</v>
      </c>
      <c r="AO7" s="147">
        <f t="shared" si="17"/>
        <v>-3</v>
      </c>
      <c r="AP7" s="147">
        <f t="shared" si="17"/>
        <v>-3</v>
      </c>
      <c r="AQ7" s="148"/>
      <c r="AR7" s="147">
        <f t="shared" ref="AR7:BC7" si="18">-ROUND(AR6*$D$7,0)</f>
        <v>-4</v>
      </c>
      <c r="AS7" s="147">
        <f t="shared" si="18"/>
        <v>-4</v>
      </c>
      <c r="AT7" s="147">
        <f t="shared" si="18"/>
        <v>-4</v>
      </c>
      <c r="AU7" s="147">
        <f t="shared" si="18"/>
        <v>-5</v>
      </c>
      <c r="AV7" s="147">
        <f t="shared" si="18"/>
        <v>-5</v>
      </c>
      <c r="AW7" s="147">
        <f t="shared" si="18"/>
        <v>-6</v>
      </c>
      <c r="AX7" s="147">
        <f t="shared" si="18"/>
        <v>-6</v>
      </c>
      <c r="AY7" s="147">
        <f t="shared" si="18"/>
        <v>-7</v>
      </c>
      <c r="AZ7" s="147">
        <f t="shared" si="18"/>
        <v>-7</v>
      </c>
      <c r="BA7" s="147">
        <f t="shared" si="18"/>
        <v>-8</v>
      </c>
      <c r="BB7" s="147">
        <f t="shared" si="18"/>
        <v>-9</v>
      </c>
      <c r="BC7" s="147">
        <f t="shared" si="18"/>
        <v>-10</v>
      </c>
      <c r="BD7" s="148"/>
      <c r="BE7" s="147">
        <f t="shared" ref="BE7:BP7" si="19">-ROUND(BE6*$D$7,0)</f>
        <v>-11</v>
      </c>
      <c r="BF7" s="147">
        <f t="shared" si="19"/>
        <v>-12</v>
      </c>
      <c r="BG7" s="147">
        <f t="shared" si="19"/>
        <v>-13</v>
      </c>
      <c r="BH7" s="147">
        <f t="shared" si="19"/>
        <v>-14</v>
      </c>
      <c r="BI7" s="147">
        <f t="shared" si="19"/>
        <v>-15</v>
      </c>
      <c r="BJ7" s="147">
        <f t="shared" si="19"/>
        <v>-17</v>
      </c>
      <c r="BK7" s="147">
        <f t="shared" si="19"/>
        <v>-18</v>
      </c>
      <c r="BL7" s="147">
        <f t="shared" si="19"/>
        <v>-20</v>
      </c>
      <c r="BM7" s="147">
        <f t="shared" si="19"/>
        <v>-22</v>
      </c>
      <c r="BN7" s="147">
        <f t="shared" si="19"/>
        <v>-24</v>
      </c>
      <c r="BO7" s="147">
        <f t="shared" si="19"/>
        <v>-26</v>
      </c>
      <c r="BP7" s="147">
        <f t="shared" si="19"/>
        <v>-29</v>
      </c>
    </row>
    <row r="8" spans="1:68" ht="13.5" customHeight="1">
      <c r="A8" s="154"/>
      <c r="B8" s="147" t="s">
        <v>363</v>
      </c>
      <c r="C8" s="148"/>
      <c r="D8" s="148"/>
      <c r="E8" s="147">
        <f t="shared" ref="E8:P8" si="20">E7+E6+E5</f>
        <v>5</v>
      </c>
      <c r="F8" s="147">
        <f t="shared" si="20"/>
        <v>6</v>
      </c>
      <c r="G8" s="147">
        <f t="shared" si="20"/>
        <v>7</v>
      </c>
      <c r="H8" s="147">
        <f t="shared" si="20"/>
        <v>8</v>
      </c>
      <c r="I8" s="147">
        <f t="shared" si="20"/>
        <v>10</v>
      </c>
      <c r="J8" s="147">
        <f t="shared" si="20"/>
        <v>12</v>
      </c>
      <c r="K8" s="147">
        <f t="shared" si="20"/>
        <v>14</v>
      </c>
      <c r="L8" s="147">
        <f t="shared" si="20"/>
        <v>17</v>
      </c>
      <c r="M8" s="147">
        <f t="shared" si="20"/>
        <v>20</v>
      </c>
      <c r="N8" s="147">
        <f t="shared" si="20"/>
        <v>24</v>
      </c>
      <c r="O8" s="147">
        <f t="shared" si="20"/>
        <v>29</v>
      </c>
      <c r="P8" s="147">
        <f t="shared" si="20"/>
        <v>35</v>
      </c>
      <c r="Q8" s="148"/>
      <c r="R8" s="147">
        <f t="shared" ref="R8:AC8" si="21">R7+R6+R5</f>
        <v>35</v>
      </c>
      <c r="S8" s="147">
        <f t="shared" si="21"/>
        <v>42</v>
      </c>
      <c r="T8" s="147">
        <f t="shared" si="21"/>
        <v>50</v>
      </c>
      <c r="U8" s="147">
        <f t="shared" si="21"/>
        <v>59</v>
      </c>
      <c r="V8" s="147">
        <f t="shared" si="21"/>
        <v>70</v>
      </c>
      <c r="W8" s="147">
        <f t="shared" si="21"/>
        <v>83</v>
      </c>
      <c r="X8" s="147">
        <f t="shared" si="21"/>
        <v>99</v>
      </c>
      <c r="Y8" s="147">
        <f t="shared" si="21"/>
        <v>118</v>
      </c>
      <c r="Z8" s="147">
        <f t="shared" si="21"/>
        <v>141</v>
      </c>
      <c r="AA8" s="147">
        <f t="shared" si="21"/>
        <v>168</v>
      </c>
      <c r="AB8" s="147">
        <f t="shared" si="21"/>
        <v>200</v>
      </c>
      <c r="AC8" s="147">
        <f t="shared" si="21"/>
        <v>238</v>
      </c>
      <c r="AD8" s="148"/>
      <c r="AE8" s="147">
        <f t="shared" ref="AE8:AP8" si="22">AE7+AE6+AE5</f>
        <v>261</v>
      </c>
      <c r="AF8" s="147">
        <f t="shared" si="22"/>
        <v>286</v>
      </c>
      <c r="AG8" s="147">
        <f t="shared" si="22"/>
        <v>314</v>
      </c>
      <c r="AH8" s="147">
        <f t="shared" si="22"/>
        <v>343</v>
      </c>
      <c r="AI8" s="147">
        <f t="shared" si="22"/>
        <v>375</v>
      </c>
      <c r="AJ8" s="147">
        <f t="shared" si="22"/>
        <v>411</v>
      </c>
      <c r="AK8" s="147">
        <f t="shared" si="22"/>
        <v>450</v>
      </c>
      <c r="AL8" s="147">
        <f t="shared" si="22"/>
        <v>493</v>
      </c>
      <c r="AM8" s="147">
        <f t="shared" si="22"/>
        <v>540</v>
      </c>
      <c r="AN8" s="147">
        <f t="shared" si="22"/>
        <v>591</v>
      </c>
      <c r="AO8" s="147">
        <f t="shared" si="22"/>
        <v>647</v>
      </c>
      <c r="AP8" s="147">
        <f t="shared" si="22"/>
        <v>709</v>
      </c>
      <c r="AQ8" s="148"/>
      <c r="AR8" s="147">
        <f t="shared" ref="AR8:BC8" si="23">AR7+AR6+AR5</f>
        <v>776</v>
      </c>
      <c r="AS8" s="147">
        <f t="shared" si="23"/>
        <v>850</v>
      </c>
      <c r="AT8" s="147">
        <f t="shared" si="23"/>
        <v>931</v>
      </c>
      <c r="AU8" s="147">
        <f t="shared" si="23"/>
        <v>1019</v>
      </c>
      <c r="AV8" s="147">
        <f t="shared" si="23"/>
        <v>1116</v>
      </c>
      <c r="AW8" s="147">
        <f t="shared" si="23"/>
        <v>1222</v>
      </c>
      <c r="AX8" s="147">
        <f t="shared" si="23"/>
        <v>1338</v>
      </c>
      <c r="AY8" s="147">
        <f t="shared" si="23"/>
        <v>1465</v>
      </c>
      <c r="AZ8" s="147">
        <f t="shared" si="23"/>
        <v>1605</v>
      </c>
      <c r="BA8" s="147">
        <f t="shared" si="23"/>
        <v>1758</v>
      </c>
      <c r="BB8" s="147">
        <f t="shared" si="23"/>
        <v>1925</v>
      </c>
      <c r="BC8" s="147">
        <f t="shared" si="23"/>
        <v>2108</v>
      </c>
      <c r="BD8" s="148"/>
      <c r="BE8" s="147">
        <f t="shared" ref="BE8:BP8" si="24">BE7+BE6+BE5</f>
        <v>2308</v>
      </c>
      <c r="BF8" s="147">
        <f t="shared" si="24"/>
        <v>2527</v>
      </c>
      <c r="BG8" s="147">
        <f t="shared" si="24"/>
        <v>2767</v>
      </c>
      <c r="BH8" s="147">
        <f t="shared" si="24"/>
        <v>3030</v>
      </c>
      <c r="BI8" s="147">
        <f t="shared" si="24"/>
        <v>3318</v>
      </c>
      <c r="BJ8" s="147">
        <f t="shared" si="24"/>
        <v>3633</v>
      </c>
      <c r="BK8" s="147">
        <f t="shared" si="24"/>
        <v>3978</v>
      </c>
      <c r="BL8" s="147">
        <f t="shared" si="24"/>
        <v>4356</v>
      </c>
      <c r="BM8" s="147">
        <f t="shared" si="24"/>
        <v>4770</v>
      </c>
      <c r="BN8" s="147">
        <f t="shared" si="24"/>
        <v>5223</v>
      </c>
      <c r="BO8" s="147">
        <f t="shared" si="24"/>
        <v>5719</v>
      </c>
      <c r="BP8" s="147">
        <f t="shared" si="24"/>
        <v>6262</v>
      </c>
    </row>
    <row r="9" spans="1:68" ht="13.5" customHeight="1">
      <c r="A9" s="154"/>
      <c r="B9" s="147" t="s">
        <v>364</v>
      </c>
      <c r="C9" s="148">
        <v>20</v>
      </c>
      <c r="D9" s="148">
        <v>20</v>
      </c>
      <c r="E9" s="147">
        <f t="shared" ref="E9:P9" si="25">$D$9</f>
        <v>20</v>
      </c>
      <c r="F9" s="147">
        <f t="shared" si="25"/>
        <v>20</v>
      </c>
      <c r="G9" s="147">
        <f t="shared" si="25"/>
        <v>20</v>
      </c>
      <c r="H9" s="147">
        <f t="shared" si="25"/>
        <v>20</v>
      </c>
      <c r="I9" s="147">
        <f t="shared" si="25"/>
        <v>20</v>
      </c>
      <c r="J9" s="147">
        <f t="shared" si="25"/>
        <v>20</v>
      </c>
      <c r="K9" s="147">
        <f t="shared" si="25"/>
        <v>20</v>
      </c>
      <c r="L9" s="147">
        <f t="shared" si="25"/>
        <v>20</v>
      </c>
      <c r="M9" s="147">
        <f t="shared" si="25"/>
        <v>20</v>
      </c>
      <c r="N9" s="147">
        <f t="shared" si="25"/>
        <v>20</v>
      </c>
      <c r="O9" s="147">
        <f t="shared" si="25"/>
        <v>20</v>
      </c>
      <c r="P9" s="147">
        <f t="shared" si="25"/>
        <v>20</v>
      </c>
      <c r="Q9" s="148"/>
      <c r="R9" s="147">
        <f t="shared" ref="R9:AC9" si="26">$D$9</f>
        <v>20</v>
      </c>
      <c r="S9" s="147">
        <f t="shared" si="26"/>
        <v>20</v>
      </c>
      <c r="T9" s="147">
        <f t="shared" si="26"/>
        <v>20</v>
      </c>
      <c r="U9" s="147">
        <f t="shared" si="26"/>
        <v>20</v>
      </c>
      <c r="V9" s="147">
        <f t="shared" si="26"/>
        <v>20</v>
      </c>
      <c r="W9" s="147">
        <f t="shared" si="26"/>
        <v>20</v>
      </c>
      <c r="X9" s="147">
        <f t="shared" si="26"/>
        <v>20</v>
      </c>
      <c r="Y9" s="147">
        <f t="shared" si="26"/>
        <v>20</v>
      </c>
      <c r="Z9" s="147">
        <f t="shared" si="26"/>
        <v>20</v>
      </c>
      <c r="AA9" s="147">
        <f t="shared" si="26"/>
        <v>20</v>
      </c>
      <c r="AB9" s="147">
        <f t="shared" si="26"/>
        <v>20</v>
      </c>
      <c r="AC9" s="147">
        <f t="shared" si="26"/>
        <v>20</v>
      </c>
      <c r="AD9" s="148"/>
      <c r="AE9" s="147">
        <f t="shared" ref="AE9:AP9" si="27">$D$9</f>
        <v>20</v>
      </c>
      <c r="AF9" s="147">
        <f t="shared" si="27"/>
        <v>20</v>
      </c>
      <c r="AG9" s="147">
        <f t="shared" si="27"/>
        <v>20</v>
      </c>
      <c r="AH9" s="147">
        <f t="shared" si="27"/>
        <v>20</v>
      </c>
      <c r="AI9" s="147">
        <f t="shared" si="27"/>
        <v>20</v>
      </c>
      <c r="AJ9" s="147">
        <f t="shared" si="27"/>
        <v>20</v>
      </c>
      <c r="AK9" s="147">
        <f t="shared" si="27"/>
        <v>20</v>
      </c>
      <c r="AL9" s="147">
        <f t="shared" si="27"/>
        <v>20</v>
      </c>
      <c r="AM9" s="147">
        <f t="shared" si="27"/>
        <v>20</v>
      </c>
      <c r="AN9" s="147">
        <f t="shared" si="27"/>
        <v>20</v>
      </c>
      <c r="AO9" s="147">
        <f t="shared" si="27"/>
        <v>20</v>
      </c>
      <c r="AP9" s="147">
        <f t="shared" si="27"/>
        <v>20</v>
      </c>
      <c r="AQ9" s="148"/>
      <c r="AR9" s="147">
        <f t="shared" ref="AR9:BC9" si="28">$D$9</f>
        <v>20</v>
      </c>
      <c r="AS9" s="147">
        <f t="shared" si="28"/>
        <v>20</v>
      </c>
      <c r="AT9" s="147">
        <f t="shared" si="28"/>
        <v>20</v>
      </c>
      <c r="AU9" s="147">
        <f t="shared" si="28"/>
        <v>20</v>
      </c>
      <c r="AV9" s="147">
        <f t="shared" si="28"/>
        <v>20</v>
      </c>
      <c r="AW9" s="147">
        <f t="shared" si="28"/>
        <v>20</v>
      </c>
      <c r="AX9" s="147">
        <f t="shared" si="28"/>
        <v>20</v>
      </c>
      <c r="AY9" s="147">
        <f t="shared" si="28"/>
        <v>20</v>
      </c>
      <c r="AZ9" s="147">
        <f t="shared" si="28"/>
        <v>20</v>
      </c>
      <c r="BA9" s="147">
        <f t="shared" si="28"/>
        <v>20</v>
      </c>
      <c r="BB9" s="147">
        <f t="shared" si="28"/>
        <v>20</v>
      </c>
      <c r="BC9" s="147">
        <f t="shared" si="28"/>
        <v>20</v>
      </c>
      <c r="BD9" s="148"/>
      <c r="BE9" s="147">
        <f t="shared" ref="BE9:BP9" si="29">$D$9</f>
        <v>20</v>
      </c>
      <c r="BF9" s="147">
        <f t="shared" si="29"/>
        <v>20</v>
      </c>
      <c r="BG9" s="147">
        <f t="shared" si="29"/>
        <v>20</v>
      </c>
      <c r="BH9" s="147">
        <f t="shared" si="29"/>
        <v>20</v>
      </c>
      <c r="BI9" s="147">
        <f t="shared" si="29"/>
        <v>20</v>
      </c>
      <c r="BJ9" s="147">
        <f t="shared" si="29"/>
        <v>20</v>
      </c>
      <c r="BK9" s="147">
        <f t="shared" si="29"/>
        <v>20</v>
      </c>
      <c r="BL9" s="147">
        <f t="shared" si="29"/>
        <v>20</v>
      </c>
      <c r="BM9" s="147">
        <f t="shared" si="29"/>
        <v>20</v>
      </c>
      <c r="BN9" s="147">
        <f t="shared" si="29"/>
        <v>20</v>
      </c>
      <c r="BO9" s="147">
        <f t="shared" si="29"/>
        <v>20</v>
      </c>
      <c r="BP9" s="147">
        <f t="shared" si="29"/>
        <v>20</v>
      </c>
    </row>
    <row r="10" spans="1:68" ht="13.5" customHeight="1">
      <c r="A10" s="154" t="s">
        <v>365</v>
      </c>
      <c r="B10" s="147"/>
      <c r="C10" s="156"/>
      <c r="D10" s="156"/>
      <c r="E10" s="156">
        <f t="shared" ref="E10:P10" si="30">E8*E9</f>
        <v>100</v>
      </c>
      <c r="F10" s="156">
        <f t="shared" si="30"/>
        <v>120</v>
      </c>
      <c r="G10" s="156">
        <f t="shared" si="30"/>
        <v>140</v>
      </c>
      <c r="H10" s="156">
        <f t="shared" si="30"/>
        <v>160</v>
      </c>
      <c r="I10" s="156">
        <f t="shared" si="30"/>
        <v>200</v>
      </c>
      <c r="J10" s="156">
        <f t="shared" si="30"/>
        <v>240</v>
      </c>
      <c r="K10" s="156">
        <f t="shared" si="30"/>
        <v>280</v>
      </c>
      <c r="L10" s="156">
        <f t="shared" si="30"/>
        <v>340</v>
      </c>
      <c r="M10" s="156">
        <f t="shared" si="30"/>
        <v>400</v>
      </c>
      <c r="N10" s="156">
        <f t="shared" si="30"/>
        <v>480</v>
      </c>
      <c r="O10" s="156">
        <f t="shared" si="30"/>
        <v>580</v>
      </c>
      <c r="P10" s="156">
        <f t="shared" si="30"/>
        <v>700</v>
      </c>
      <c r="Q10" s="156"/>
      <c r="R10" s="156">
        <f t="shared" ref="R10:AC10" si="31">R8*R9</f>
        <v>700</v>
      </c>
      <c r="S10" s="156">
        <f t="shared" si="31"/>
        <v>840</v>
      </c>
      <c r="T10" s="156">
        <f t="shared" si="31"/>
        <v>1000</v>
      </c>
      <c r="U10" s="156">
        <f t="shared" si="31"/>
        <v>1180</v>
      </c>
      <c r="V10" s="156">
        <f t="shared" si="31"/>
        <v>1400</v>
      </c>
      <c r="W10" s="156">
        <f t="shared" si="31"/>
        <v>1660</v>
      </c>
      <c r="X10" s="156">
        <f t="shared" si="31"/>
        <v>1980</v>
      </c>
      <c r="Y10" s="156">
        <f t="shared" si="31"/>
        <v>2360</v>
      </c>
      <c r="Z10" s="156">
        <f t="shared" si="31"/>
        <v>2820</v>
      </c>
      <c r="AA10" s="156">
        <f t="shared" si="31"/>
        <v>3360</v>
      </c>
      <c r="AB10" s="156">
        <f t="shared" si="31"/>
        <v>4000</v>
      </c>
      <c r="AC10" s="156">
        <f t="shared" si="31"/>
        <v>4760</v>
      </c>
      <c r="AD10" s="156">
        <f>SUM(AD9)</f>
        <v>0</v>
      </c>
      <c r="AE10" s="156">
        <f t="shared" ref="AE10:AP10" si="32">AE8*AE9</f>
        <v>5220</v>
      </c>
      <c r="AF10" s="156">
        <f t="shared" si="32"/>
        <v>5720</v>
      </c>
      <c r="AG10" s="156">
        <f t="shared" si="32"/>
        <v>6280</v>
      </c>
      <c r="AH10" s="156">
        <f t="shared" si="32"/>
        <v>6860</v>
      </c>
      <c r="AI10" s="156">
        <f t="shared" si="32"/>
        <v>7500</v>
      </c>
      <c r="AJ10" s="156">
        <f t="shared" si="32"/>
        <v>8220</v>
      </c>
      <c r="AK10" s="156">
        <f t="shared" si="32"/>
        <v>9000</v>
      </c>
      <c r="AL10" s="156">
        <f t="shared" si="32"/>
        <v>9860</v>
      </c>
      <c r="AM10" s="156">
        <f t="shared" si="32"/>
        <v>10800</v>
      </c>
      <c r="AN10" s="156">
        <f t="shared" si="32"/>
        <v>11820</v>
      </c>
      <c r="AO10" s="156">
        <f t="shared" si="32"/>
        <v>12940</v>
      </c>
      <c r="AP10" s="156">
        <f t="shared" si="32"/>
        <v>14180</v>
      </c>
      <c r="AQ10" s="156"/>
      <c r="AR10" s="156">
        <f t="shared" ref="AR10:BC10" si="33">AR8*AR9</f>
        <v>15520</v>
      </c>
      <c r="AS10" s="156">
        <f t="shared" si="33"/>
        <v>17000</v>
      </c>
      <c r="AT10" s="156">
        <f t="shared" si="33"/>
        <v>18620</v>
      </c>
      <c r="AU10" s="156">
        <f t="shared" si="33"/>
        <v>20380</v>
      </c>
      <c r="AV10" s="156">
        <f t="shared" si="33"/>
        <v>22320</v>
      </c>
      <c r="AW10" s="156">
        <f t="shared" si="33"/>
        <v>24440</v>
      </c>
      <c r="AX10" s="156">
        <f t="shared" si="33"/>
        <v>26760</v>
      </c>
      <c r="AY10" s="156">
        <f t="shared" si="33"/>
        <v>29300</v>
      </c>
      <c r="AZ10" s="156">
        <f t="shared" si="33"/>
        <v>32100</v>
      </c>
      <c r="BA10" s="156">
        <f t="shared" si="33"/>
        <v>35160</v>
      </c>
      <c r="BB10" s="156">
        <f t="shared" si="33"/>
        <v>38500</v>
      </c>
      <c r="BC10" s="156">
        <f t="shared" si="33"/>
        <v>42160</v>
      </c>
      <c r="BD10" s="156"/>
      <c r="BE10" s="156">
        <f t="shared" ref="BE10:BP10" si="34">BE8*BE9</f>
        <v>46160</v>
      </c>
      <c r="BF10" s="156">
        <f t="shared" si="34"/>
        <v>50540</v>
      </c>
      <c r="BG10" s="156">
        <f t="shared" si="34"/>
        <v>55340</v>
      </c>
      <c r="BH10" s="156">
        <f t="shared" si="34"/>
        <v>60600</v>
      </c>
      <c r="BI10" s="156">
        <f t="shared" si="34"/>
        <v>66360</v>
      </c>
      <c r="BJ10" s="156">
        <f t="shared" si="34"/>
        <v>72660</v>
      </c>
      <c r="BK10" s="156">
        <f t="shared" si="34"/>
        <v>79560</v>
      </c>
      <c r="BL10" s="156">
        <f t="shared" si="34"/>
        <v>87120</v>
      </c>
      <c r="BM10" s="156">
        <f t="shared" si="34"/>
        <v>95400</v>
      </c>
      <c r="BN10" s="156">
        <f t="shared" si="34"/>
        <v>104460</v>
      </c>
      <c r="BO10" s="156">
        <f t="shared" si="34"/>
        <v>114380</v>
      </c>
      <c r="BP10" s="156">
        <f t="shared" si="34"/>
        <v>125240</v>
      </c>
    </row>
    <row r="11" spans="1:68" ht="13.5" customHeight="1">
      <c r="A11" s="154"/>
      <c r="B11" s="147"/>
      <c r="C11" s="148"/>
      <c r="D11" s="148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8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8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8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</row>
    <row r="12" spans="1:68" ht="13.5" customHeight="1">
      <c r="A12" s="154" t="s">
        <v>366</v>
      </c>
      <c r="B12" s="147"/>
      <c r="C12" s="148"/>
      <c r="D12" s="148">
        <v>15</v>
      </c>
      <c r="E12" s="157">
        <f t="shared" ref="E12:P12" si="35">E10*$D$12</f>
        <v>1500</v>
      </c>
      <c r="F12" s="157">
        <f t="shared" si="35"/>
        <v>1800</v>
      </c>
      <c r="G12" s="157">
        <f t="shared" si="35"/>
        <v>2100</v>
      </c>
      <c r="H12" s="157">
        <f t="shared" si="35"/>
        <v>2400</v>
      </c>
      <c r="I12" s="157">
        <f t="shared" si="35"/>
        <v>3000</v>
      </c>
      <c r="J12" s="157">
        <f t="shared" si="35"/>
        <v>3600</v>
      </c>
      <c r="K12" s="157">
        <f t="shared" si="35"/>
        <v>4200</v>
      </c>
      <c r="L12" s="157">
        <f t="shared" si="35"/>
        <v>5100</v>
      </c>
      <c r="M12" s="157">
        <f t="shared" si="35"/>
        <v>6000</v>
      </c>
      <c r="N12" s="157">
        <f t="shared" si="35"/>
        <v>7200</v>
      </c>
      <c r="O12" s="157">
        <f t="shared" si="35"/>
        <v>8700</v>
      </c>
      <c r="P12" s="157">
        <f t="shared" si="35"/>
        <v>10500</v>
      </c>
      <c r="Q12" s="148"/>
      <c r="R12" s="157">
        <f t="shared" ref="R12:AC12" si="36">R10*$D$12</f>
        <v>10500</v>
      </c>
      <c r="S12" s="157">
        <f t="shared" si="36"/>
        <v>12600</v>
      </c>
      <c r="T12" s="157">
        <f t="shared" si="36"/>
        <v>15000</v>
      </c>
      <c r="U12" s="157">
        <f t="shared" si="36"/>
        <v>17700</v>
      </c>
      <c r="V12" s="157">
        <f t="shared" si="36"/>
        <v>21000</v>
      </c>
      <c r="W12" s="157">
        <f t="shared" si="36"/>
        <v>24900</v>
      </c>
      <c r="X12" s="157">
        <f t="shared" si="36"/>
        <v>29700</v>
      </c>
      <c r="Y12" s="157">
        <f t="shared" si="36"/>
        <v>35400</v>
      </c>
      <c r="Z12" s="157">
        <f t="shared" si="36"/>
        <v>42300</v>
      </c>
      <c r="AA12" s="157">
        <f t="shared" si="36"/>
        <v>50400</v>
      </c>
      <c r="AB12" s="157">
        <f t="shared" si="36"/>
        <v>60000</v>
      </c>
      <c r="AC12" s="157">
        <f t="shared" si="36"/>
        <v>71400</v>
      </c>
      <c r="AD12" s="148"/>
      <c r="AE12" s="157">
        <f t="shared" ref="AE12:AP12" si="37">AE10*$D$12</f>
        <v>78300</v>
      </c>
      <c r="AF12" s="157">
        <f t="shared" si="37"/>
        <v>85800</v>
      </c>
      <c r="AG12" s="157">
        <f t="shared" si="37"/>
        <v>94200</v>
      </c>
      <c r="AH12" s="157">
        <f t="shared" si="37"/>
        <v>102900</v>
      </c>
      <c r="AI12" s="157">
        <f t="shared" si="37"/>
        <v>112500</v>
      </c>
      <c r="AJ12" s="157">
        <f t="shared" si="37"/>
        <v>123300</v>
      </c>
      <c r="AK12" s="157">
        <f t="shared" si="37"/>
        <v>135000</v>
      </c>
      <c r="AL12" s="157">
        <f t="shared" si="37"/>
        <v>147900</v>
      </c>
      <c r="AM12" s="157">
        <f t="shared" si="37"/>
        <v>162000</v>
      </c>
      <c r="AN12" s="157">
        <f t="shared" si="37"/>
        <v>177300</v>
      </c>
      <c r="AO12" s="157">
        <f t="shared" si="37"/>
        <v>194100</v>
      </c>
      <c r="AP12" s="157">
        <f t="shared" si="37"/>
        <v>212700</v>
      </c>
      <c r="AQ12" s="148"/>
      <c r="AR12" s="157">
        <f t="shared" ref="AR12:BC12" si="38">AR10*$D$12</f>
        <v>232800</v>
      </c>
      <c r="AS12" s="157">
        <f t="shared" si="38"/>
        <v>255000</v>
      </c>
      <c r="AT12" s="157">
        <f t="shared" si="38"/>
        <v>279300</v>
      </c>
      <c r="AU12" s="157">
        <f t="shared" si="38"/>
        <v>305700</v>
      </c>
      <c r="AV12" s="157">
        <f t="shared" si="38"/>
        <v>334800</v>
      </c>
      <c r="AW12" s="157">
        <f t="shared" si="38"/>
        <v>366600</v>
      </c>
      <c r="AX12" s="157">
        <f t="shared" si="38"/>
        <v>401400</v>
      </c>
      <c r="AY12" s="157">
        <f t="shared" si="38"/>
        <v>439500</v>
      </c>
      <c r="AZ12" s="157">
        <f t="shared" si="38"/>
        <v>481500</v>
      </c>
      <c r="BA12" s="157">
        <f t="shared" si="38"/>
        <v>527400</v>
      </c>
      <c r="BB12" s="157">
        <f t="shared" si="38"/>
        <v>577500</v>
      </c>
      <c r="BC12" s="157">
        <f t="shared" si="38"/>
        <v>632400</v>
      </c>
      <c r="BD12" s="148"/>
      <c r="BE12" s="157">
        <f t="shared" ref="BE12:BP12" si="39">BE10*$D$12</f>
        <v>692400</v>
      </c>
      <c r="BF12" s="157">
        <f t="shared" si="39"/>
        <v>758100</v>
      </c>
      <c r="BG12" s="157">
        <f t="shared" si="39"/>
        <v>830100</v>
      </c>
      <c r="BH12" s="157">
        <f t="shared" si="39"/>
        <v>909000</v>
      </c>
      <c r="BI12" s="157">
        <f t="shared" si="39"/>
        <v>995400</v>
      </c>
      <c r="BJ12" s="157">
        <f t="shared" si="39"/>
        <v>1089900</v>
      </c>
      <c r="BK12" s="157">
        <f t="shared" si="39"/>
        <v>1193400</v>
      </c>
      <c r="BL12" s="157">
        <f t="shared" si="39"/>
        <v>1306800</v>
      </c>
      <c r="BM12" s="157">
        <f t="shared" si="39"/>
        <v>1431000</v>
      </c>
      <c r="BN12" s="157">
        <f t="shared" si="39"/>
        <v>1566900</v>
      </c>
      <c r="BO12" s="157">
        <f t="shared" si="39"/>
        <v>1715700</v>
      </c>
      <c r="BP12" s="157">
        <f t="shared" si="39"/>
        <v>1878600</v>
      </c>
    </row>
    <row r="13" spans="1:68" ht="13.5" customHeight="1">
      <c r="A13" s="154"/>
      <c r="B13" s="147"/>
      <c r="C13" s="148"/>
      <c r="D13" s="148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8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8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8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</row>
    <row r="14" spans="1:68" ht="13.5" customHeight="1">
      <c r="A14" s="154"/>
      <c r="B14" s="147"/>
      <c r="C14" s="148"/>
      <c r="D14" s="148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8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8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8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</row>
    <row r="15" spans="1:68" ht="13.5" customHeight="1">
      <c r="A15" s="154"/>
      <c r="B15" s="147"/>
      <c r="C15" s="148"/>
      <c r="D15" s="148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8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8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8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8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</row>
    <row r="16" spans="1:68" ht="13.5" customHeight="1">
      <c r="A16" s="154" t="s">
        <v>367</v>
      </c>
      <c r="B16" s="147"/>
      <c r="C16" s="156"/>
      <c r="D16" s="156"/>
      <c r="E16" s="158">
        <f t="shared" ref="E16:P16" si="40">SUM(E12:E15)</f>
        <v>1500</v>
      </c>
      <c r="F16" s="158">
        <f t="shared" si="40"/>
        <v>1800</v>
      </c>
      <c r="G16" s="158">
        <f t="shared" si="40"/>
        <v>2100</v>
      </c>
      <c r="H16" s="158">
        <f t="shared" si="40"/>
        <v>2400</v>
      </c>
      <c r="I16" s="158">
        <f t="shared" si="40"/>
        <v>3000</v>
      </c>
      <c r="J16" s="158">
        <f t="shared" si="40"/>
        <v>3600</v>
      </c>
      <c r="K16" s="158">
        <f t="shared" si="40"/>
        <v>4200</v>
      </c>
      <c r="L16" s="158">
        <f t="shared" si="40"/>
        <v>5100</v>
      </c>
      <c r="M16" s="158">
        <f t="shared" si="40"/>
        <v>6000</v>
      </c>
      <c r="N16" s="158">
        <f t="shared" si="40"/>
        <v>7200</v>
      </c>
      <c r="O16" s="158">
        <f t="shared" si="40"/>
        <v>8700</v>
      </c>
      <c r="P16" s="158">
        <f t="shared" si="40"/>
        <v>10500</v>
      </c>
      <c r="Q16" s="156"/>
      <c r="R16" s="158">
        <f t="shared" ref="R16:AC16" si="41">SUM(R12:R15)</f>
        <v>10500</v>
      </c>
      <c r="S16" s="158">
        <f t="shared" si="41"/>
        <v>12600</v>
      </c>
      <c r="T16" s="158">
        <f t="shared" si="41"/>
        <v>15000</v>
      </c>
      <c r="U16" s="158">
        <f t="shared" si="41"/>
        <v>17700</v>
      </c>
      <c r="V16" s="158">
        <f t="shared" si="41"/>
        <v>21000</v>
      </c>
      <c r="W16" s="158">
        <f t="shared" si="41"/>
        <v>24900</v>
      </c>
      <c r="X16" s="158">
        <f t="shared" si="41"/>
        <v>29700</v>
      </c>
      <c r="Y16" s="158">
        <f t="shared" si="41"/>
        <v>35400</v>
      </c>
      <c r="Z16" s="158">
        <f t="shared" si="41"/>
        <v>42300</v>
      </c>
      <c r="AA16" s="158">
        <f t="shared" si="41"/>
        <v>50400</v>
      </c>
      <c r="AB16" s="158">
        <f t="shared" si="41"/>
        <v>60000</v>
      </c>
      <c r="AC16" s="158">
        <f t="shared" si="41"/>
        <v>71400</v>
      </c>
      <c r="AD16" s="156">
        <f>SUM(AD14:AD15)</f>
        <v>0</v>
      </c>
      <c r="AE16" s="158">
        <f t="shared" ref="AE16:AP16" si="42">SUM(AE12:AE15)</f>
        <v>78300</v>
      </c>
      <c r="AF16" s="158">
        <f t="shared" si="42"/>
        <v>85800</v>
      </c>
      <c r="AG16" s="158">
        <f t="shared" si="42"/>
        <v>94200</v>
      </c>
      <c r="AH16" s="158">
        <f t="shared" si="42"/>
        <v>102900</v>
      </c>
      <c r="AI16" s="158">
        <f t="shared" si="42"/>
        <v>112500</v>
      </c>
      <c r="AJ16" s="158">
        <f t="shared" si="42"/>
        <v>123300</v>
      </c>
      <c r="AK16" s="158">
        <f t="shared" si="42"/>
        <v>135000</v>
      </c>
      <c r="AL16" s="158">
        <f t="shared" si="42"/>
        <v>147900</v>
      </c>
      <c r="AM16" s="158">
        <f t="shared" si="42"/>
        <v>162000</v>
      </c>
      <c r="AN16" s="158">
        <f t="shared" si="42"/>
        <v>177300</v>
      </c>
      <c r="AO16" s="158">
        <f t="shared" si="42"/>
        <v>194100</v>
      </c>
      <c r="AP16" s="158">
        <f t="shared" si="42"/>
        <v>212700</v>
      </c>
      <c r="AQ16" s="156"/>
      <c r="AR16" s="158">
        <f t="shared" ref="AR16:BC16" si="43">SUM(AR12:AR15)</f>
        <v>232800</v>
      </c>
      <c r="AS16" s="158">
        <f t="shared" si="43"/>
        <v>255000</v>
      </c>
      <c r="AT16" s="158">
        <f t="shared" si="43"/>
        <v>279300</v>
      </c>
      <c r="AU16" s="158">
        <f t="shared" si="43"/>
        <v>305700</v>
      </c>
      <c r="AV16" s="158">
        <f t="shared" si="43"/>
        <v>334800</v>
      </c>
      <c r="AW16" s="158">
        <f t="shared" si="43"/>
        <v>366600</v>
      </c>
      <c r="AX16" s="158">
        <f t="shared" si="43"/>
        <v>401400</v>
      </c>
      <c r="AY16" s="158">
        <f t="shared" si="43"/>
        <v>439500</v>
      </c>
      <c r="AZ16" s="158">
        <f t="shared" si="43"/>
        <v>481500</v>
      </c>
      <c r="BA16" s="158">
        <f t="shared" si="43"/>
        <v>527400</v>
      </c>
      <c r="BB16" s="158">
        <f t="shared" si="43"/>
        <v>577500</v>
      </c>
      <c r="BC16" s="158">
        <f t="shared" si="43"/>
        <v>632400</v>
      </c>
      <c r="BD16" s="156"/>
      <c r="BE16" s="158">
        <f t="shared" ref="BE16:BP16" si="44">SUM(BE12:BE15)</f>
        <v>692400</v>
      </c>
      <c r="BF16" s="158">
        <f t="shared" si="44"/>
        <v>758100</v>
      </c>
      <c r="BG16" s="158">
        <f t="shared" si="44"/>
        <v>830100</v>
      </c>
      <c r="BH16" s="158">
        <f t="shared" si="44"/>
        <v>909000</v>
      </c>
      <c r="BI16" s="158">
        <f t="shared" si="44"/>
        <v>995400</v>
      </c>
      <c r="BJ16" s="158">
        <f t="shared" si="44"/>
        <v>1089900</v>
      </c>
      <c r="BK16" s="158">
        <f t="shared" si="44"/>
        <v>1193400</v>
      </c>
      <c r="BL16" s="158">
        <f t="shared" si="44"/>
        <v>1306800</v>
      </c>
      <c r="BM16" s="158">
        <f t="shared" si="44"/>
        <v>1431000</v>
      </c>
      <c r="BN16" s="158">
        <f t="shared" si="44"/>
        <v>1566900</v>
      </c>
      <c r="BO16" s="158">
        <f t="shared" si="44"/>
        <v>1715700</v>
      </c>
      <c r="BP16" s="158">
        <f t="shared" si="44"/>
        <v>1878600</v>
      </c>
    </row>
    <row r="19" spans="1:68" ht="13.5" customHeight="1">
      <c r="A19" s="159" t="s">
        <v>368</v>
      </c>
      <c r="B19" s="160"/>
      <c r="C19" s="161"/>
      <c r="D19" s="161"/>
      <c r="E19" s="160">
        <f t="shared" ref="E19:P19" si="45">E16</f>
        <v>1500</v>
      </c>
      <c r="F19" s="160">
        <f t="shared" si="45"/>
        <v>1800</v>
      </c>
      <c r="G19" s="160">
        <f t="shared" si="45"/>
        <v>2100</v>
      </c>
      <c r="H19" s="160">
        <f t="shared" si="45"/>
        <v>2400</v>
      </c>
      <c r="I19" s="160">
        <f t="shared" si="45"/>
        <v>3000</v>
      </c>
      <c r="J19" s="160">
        <f t="shared" si="45"/>
        <v>3600</v>
      </c>
      <c r="K19" s="160">
        <f t="shared" si="45"/>
        <v>4200</v>
      </c>
      <c r="L19" s="160">
        <f t="shared" si="45"/>
        <v>5100</v>
      </c>
      <c r="M19" s="160">
        <f t="shared" si="45"/>
        <v>6000</v>
      </c>
      <c r="N19" s="160">
        <f t="shared" si="45"/>
        <v>7200</v>
      </c>
      <c r="O19" s="160">
        <f t="shared" si="45"/>
        <v>8700</v>
      </c>
      <c r="P19" s="160">
        <f t="shared" si="45"/>
        <v>10500</v>
      </c>
      <c r="Q19" s="160"/>
      <c r="R19" s="160">
        <f t="shared" ref="R19:AC19" si="46">R16</f>
        <v>10500</v>
      </c>
      <c r="S19" s="160">
        <f t="shared" si="46"/>
        <v>12600</v>
      </c>
      <c r="T19" s="160">
        <f t="shared" si="46"/>
        <v>15000</v>
      </c>
      <c r="U19" s="160">
        <f t="shared" si="46"/>
        <v>17700</v>
      </c>
      <c r="V19" s="160">
        <f t="shared" si="46"/>
        <v>21000</v>
      </c>
      <c r="W19" s="160">
        <f t="shared" si="46"/>
        <v>24900</v>
      </c>
      <c r="X19" s="160">
        <f t="shared" si="46"/>
        <v>29700</v>
      </c>
      <c r="Y19" s="160">
        <f t="shared" si="46"/>
        <v>35400</v>
      </c>
      <c r="Z19" s="160">
        <f t="shared" si="46"/>
        <v>42300</v>
      </c>
      <c r="AA19" s="160">
        <f t="shared" si="46"/>
        <v>50400</v>
      </c>
      <c r="AB19" s="160">
        <f t="shared" si="46"/>
        <v>60000</v>
      </c>
      <c r="AC19" s="160">
        <f t="shared" si="46"/>
        <v>71400</v>
      </c>
      <c r="AD19" s="160"/>
      <c r="AE19" s="160">
        <f t="shared" ref="AE19:AP19" si="47">AE16</f>
        <v>78300</v>
      </c>
      <c r="AF19" s="160">
        <f t="shared" si="47"/>
        <v>85800</v>
      </c>
      <c r="AG19" s="160">
        <f t="shared" si="47"/>
        <v>94200</v>
      </c>
      <c r="AH19" s="160">
        <f t="shared" si="47"/>
        <v>102900</v>
      </c>
      <c r="AI19" s="160">
        <f t="shared" si="47"/>
        <v>112500</v>
      </c>
      <c r="AJ19" s="160">
        <f t="shared" si="47"/>
        <v>123300</v>
      </c>
      <c r="AK19" s="160">
        <f t="shared" si="47"/>
        <v>135000</v>
      </c>
      <c r="AL19" s="160">
        <f t="shared" si="47"/>
        <v>147900</v>
      </c>
      <c r="AM19" s="160">
        <f t="shared" si="47"/>
        <v>162000</v>
      </c>
      <c r="AN19" s="160">
        <f t="shared" si="47"/>
        <v>177300</v>
      </c>
      <c r="AO19" s="160">
        <f t="shared" si="47"/>
        <v>194100</v>
      </c>
      <c r="AP19" s="160">
        <f t="shared" si="47"/>
        <v>212700</v>
      </c>
      <c r="AQ19" s="160"/>
      <c r="AR19" s="160">
        <f t="shared" ref="AR19:BC19" si="48">AR16</f>
        <v>232800</v>
      </c>
      <c r="AS19" s="160">
        <f t="shared" si="48"/>
        <v>255000</v>
      </c>
      <c r="AT19" s="160">
        <f t="shared" si="48"/>
        <v>279300</v>
      </c>
      <c r="AU19" s="160">
        <f t="shared" si="48"/>
        <v>305700</v>
      </c>
      <c r="AV19" s="160">
        <f t="shared" si="48"/>
        <v>334800</v>
      </c>
      <c r="AW19" s="160">
        <f t="shared" si="48"/>
        <v>366600</v>
      </c>
      <c r="AX19" s="160">
        <f t="shared" si="48"/>
        <v>401400</v>
      </c>
      <c r="AY19" s="160">
        <f t="shared" si="48"/>
        <v>439500</v>
      </c>
      <c r="AZ19" s="160">
        <f t="shared" si="48"/>
        <v>481500</v>
      </c>
      <c r="BA19" s="160">
        <f t="shared" si="48"/>
        <v>527400</v>
      </c>
      <c r="BB19" s="160">
        <f t="shared" si="48"/>
        <v>577500</v>
      </c>
      <c r="BC19" s="160">
        <f t="shared" si="48"/>
        <v>632400</v>
      </c>
      <c r="BD19" s="160"/>
      <c r="BE19" s="160">
        <f t="shared" ref="BE19:BP19" si="49">BE16</f>
        <v>692400</v>
      </c>
      <c r="BF19" s="160">
        <f t="shared" si="49"/>
        <v>758100</v>
      </c>
      <c r="BG19" s="160">
        <f t="shared" si="49"/>
        <v>830100</v>
      </c>
      <c r="BH19" s="160">
        <f t="shared" si="49"/>
        <v>909000</v>
      </c>
      <c r="BI19" s="160">
        <f t="shared" si="49"/>
        <v>995400</v>
      </c>
      <c r="BJ19" s="160">
        <f t="shared" si="49"/>
        <v>1089900</v>
      </c>
      <c r="BK19" s="160">
        <f t="shared" si="49"/>
        <v>1193400</v>
      </c>
      <c r="BL19" s="160">
        <f t="shared" si="49"/>
        <v>1306800</v>
      </c>
      <c r="BM19" s="160">
        <f t="shared" si="49"/>
        <v>1431000</v>
      </c>
      <c r="BN19" s="160">
        <f t="shared" si="49"/>
        <v>1566900</v>
      </c>
      <c r="BO19" s="160">
        <f t="shared" si="49"/>
        <v>1715700</v>
      </c>
      <c r="BP19" s="160">
        <f t="shared" si="49"/>
        <v>1878600</v>
      </c>
    </row>
  </sheetData>
  <mergeCells count="1">
    <mergeCell ref="A1:C1"/>
  </mergeCells>
  <pageMargins left="0.75" right="0.75" top="1" bottom="1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3"/>
  <sheetViews>
    <sheetView workbookViewId="0"/>
  </sheetViews>
  <sheetFormatPr baseColWidth="10" defaultColWidth="12.5" defaultRowHeight="15" customHeight="1"/>
  <cols>
    <col min="1" max="1" width="20.5" customWidth="1"/>
    <col min="2" max="2" width="12.1640625" customWidth="1"/>
    <col min="3" max="3" width="9.1640625" customWidth="1"/>
    <col min="4" max="4" width="12.5" customWidth="1"/>
    <col min="5" max="5" width="5" customWidth="1"/>
    <col min="6" max="6" width="23.5" customWidth="1"/>
    <col min="7" max="7" width="3.33203125" customWidth="1"/>
    <col min="8" max="8" width="13.1640625" customWidth="1"/>
    <col min="9" max="9" width="5" customWidth="1"/>
    <col min="10" max="10" width="21.5" customWidth="1"/>
    <col min="11" max="11" width="3.33203125" customWidth="1"/>
    <col min="12" max="12" width="12.5" customWidth="1"/>
    <col min="13" max="13" width="5" customWidth="1"/>
    <col min="14" max="14" width="31.33203125" customWidth="1"/>
    <col min="15" max="15" width="3.33203125" customWidth="1"/>
    <col min="16" max="16" width="10.83203125" customWidth="1"/>
    <col min="17" max="23" width="10" customWidth="1"/>
    <col min="24" max="24" width="10.83203125" customWidth="1"/>
    <col min="25" max="36" width="10" customWidth="1"/>
  </cols>
  <sheetData>
    <row r="1" spans="1:8">
      <c r="A1" s="1210" t="s">
        <v>369</v>
      </c>
      <c r="B1" s="1121"/>
      <c r="C1" s="1"/>
      <c r="D1" s="1"/>
      <c r="E1" s="1"/>
      <c r="F1" s="1"/>
      <c r="G1" s="1"/>
      <c r="H1" s="1"/>
    </row>
    <row r="2" spans="1:8">
      <c r="A2" s="147"/>
      <c r="B2" s="148"/>
      <c r="C2" s="147"/>
      <c r="D2" s="147"/>
      <c r="E2" s="147"/>
      <c r="F2" s="148"/>
      <c r="G2" s="148"/>
      <c r="H2" s="147"/>
    </row>
    <row r="3" spans="1:8" ht="15.75" customHeight="1">
      <c r="A3" s="1211" t="s">
        <v>370</v>
      </c>
      <c r="B3" s="1209"/>
      <c r="C3" s="147"/>
      <c r="D3" s="147"/>
      <c r="E3" s="147"/>
      <c r="F3" s="1211" t="s">
        <v>20</v>
      </c>
      <c r="G3" s="1208"/>
      <c r="H3" s="1209"/>
    </row>
    <row r="4" spans="1:8">
      <c r="A4" s="147" t="s">
        <v>371</v>
      </c>
      <c r="B4" s="163">
        <v>10000000</v>
      </c>
      <c r="C4" s="147"/>
      <c r="D4" s="147"/>
      <c r="E4" s="147"/>
      <c r="F4" s="148"/>
      <c r="G4" s="148"/>
      <c r="H4" s="147"/>
    </row>
    <row r="5" spans="1:8">
      <c r="A5" s="147" t="s">
        <v>372</v>
      </c>
      <c r="B5" s="164">
        <v>0.1</v>
      </c>
      <c r="C5" s="147"/>
      <c r="D5" s="147"/>
      <c r="E5" s="147"/>
      <c r="F5" s="147" t="s">
        <v>373</v>
      </c>
      <c r="G5" s="148"/>
      <c r="H5" s="165">
        <f>D38</f>
        <v>4595875</v>
      </c>
    </row>
    <row r="6" spans="1:8">
      <c r="A6" s="147" t="s">
        <v>374</v>
      </c>
      <c r="B6" s="164">
        <v>0.05</v>
      </c>
      <c r="C6" s="147"/>
      <c r="D6" s="147"/>
      <c r="E6" s="147"/>
      <c r="F6" s="147" t="s">
        <v>375</v>
      </c>
      <c r="G6" s="148"/>
      <c r="H6" s="165">
        <f>H23</f>
        <v>7500000</v>
      </c>
    </row>
    <row r="7" spans="1:8">
      <c r="A7" s="147" t="s">
        <v>376</v>
      </c>
      <c r="B7" s="163">
        <f>B4*B5*B6</f>
        <v>50000</v>
      </c>
      <c r="C7" s="147"/>
      <c r="D7" s="147"/>
      <c r="E7" s="147"/>
      <c r="F7" s="147" t="s">
        <v>377</v>
      </c>
      <c r="G7" s="148"/>
      <c r="H7" s="165">
        <f>L23</f>
        <v>2264400.0000000005</v>
      </c>
    </row>
    <row r="8" spans="1:8">
      <c r="A8" s="147"/>
      <c r="B8" s="148"/>
      <c r="C8" s="147"/>
      <c r="D8" s="147"/>
      <c r="E8" s="147"/>
      <c r="F8" s="147" t="s">
        <v>378</v>
      </c>
      <c r="G8" s="148"/>
      <c r="H8" s="165">
        <f>P21</f>
        <v>300000</v>
      </c>
    </row>
    <row r="9" spans="1:8">
      <c r="A9" s="147" t="s">
        <v>379</v>
      </c>
      <c r="B9" s="147">
        <v>37</v>
      </c>
      <c r="C9" s="147"/>
      <c r="D9" s="147"/>
      <c r="E9" s="147"/>
      <c r="F9" s="148"/>
      <c r="G9" s="148"/>
      <c r="H9" s="147"/>
    </row>
    <row r="10" spans="1:8">
      <c r="A10" s="147" t="s">
        <v>380</v>
      </c>
      <c r="B10" s="163">
        <v>15000</v>
      </c>
      <c r="C10" s="147"/>
      <c r="D10" s="147"/>
      <c r="E10" s="147"/>
      <c r="F10" s="147" t="s">
        <v>381</v>
      </c>
      <c r="G10" s="148"/>
      <c r="H10" s="165">
        <f>SUM(H5:H9)</f>
        <v>14660275</v>
      </c>
    </row>
    <row r="11" spans="1:8">
      <c r="A11" s="147" t="s">
        <v>382</v>
      </c>
      <c r="B11" s="166">
        <v>3.4000000000000002E-2</v>
      </c>
      <c r="C11" s="147"/>
      <c r="D11" s="147"/>
      <c r="E11" s="147"/>
      <c r="F11" s="147" t="s">
        <v>383</v>
      </c>
      <c r="G11" s="148"/>
      <c r="H11" s="164">
        <v>0.25</v>
      </c>
    </row>
    <row r="12" spans="1:8">
      <c r="A12" s="147" t="s">
        <v>384</v>
      </c>
      <c r="B12" s="167">
        <f>B10*B11</f>
        <v>510.00000000000006</v>
      </c>
      <c r="C12" s="147"/>
      <c r="D12" s="147"/>
      <c r="E12" s="147"/>
      <c r="F12" s="168" t="s">
        <v>385</v>
      </c>
      <c r="G12" s="169"/>
      <c r="H12" s="170">
        <f>H10*H11</f>
        <v>3665068.75</v>
      </c>
    </row>
    <row r="17" spans="1:16">
      <c r="A17" s="1207" t="s">
        <v>373</v>
      </c>
      <c r="B17" s="1208"/>
      <c r="C17" s="1208"/>
      <c r="D17" s="1209"/>
      <c r="F17" s="1207" t="s">
        <v>386</v>
      </c>
      <c r="G17" s="1208"/>
      <c r="H17" s="1209"/>
      <c r="J17" s="1207" t="s">
        <v>377</v>
      </c>
      <c r="K17" s="1208"/>
      <c r="L17" s="1209"/>
      <c r="N17" s="1207" t="s">
        <v>68</v>
      </c>
      <c r="O17" s="1208"/>
      <c r="P17" s="1209"/>
    </row>
    <row r="18" spans="1:16">
      <c r="A18" s="171"/>
      <c r="B18" s="172" t="s">
        <v>387</v>
      </c>
      <c r="C18" s="173" t="s">
        <v>388</v>
      </c>
      <c r="D18" s="174" t="s">
        <v>389</v>
      </c>
      <c r="F18" s="171"/>
      <c r="G18" s="172"/>
      <c r="H18" s="174"/>
      <c r="J18" s="171"/>
      <c r="K18" s="172"/>
      <c r="L18" s="174"/>
      <c r="N18" s="171"/>
      <c r="O18" s="172"/>
      <c r="P18" s="174"/>
    </row>
    <row r="19" spans="1:16">
      <c r="A19" s="7" t="s">
        <v>390</v>
      </c>
      <c r="B19" s="175">
        <v>649</v>
      </c>
      <c r="C19" s="176">
        <v>1</v>
      </c>
      <c r="D19" s="177">
        <f t="shared" ref="D19:D25" si="0">C19*B19</f>
        <v>649</v>
      </c>
      <c r="E19" s="178"/>
      <c r="F19" s="7" t="s">
        <v>391</v>
      </c>
      <c r="G19" s="175"/>
      <c r="H19" s="176">
        <f>B4*B5</f>
        <v>1000000</v>
      </c>
      <c r="I19" s="178"/>
      <c r="J19" s="7" t="s">
        <v>392</v>
      </c>
      <c r="K19" s="175"/>
      <c r="L19" s="176">
        <f>B12</f>
        <v>510.00000000000006</v>
      </c>
      <c r="N19" s="7" t="s">
        <v>393</v>
      </c>
      <c r="O19" s="175"/>
      <c r="P19" s="177">
        <v>100000</v>
      </c>
    </row>
    <row r="20" spans="1:16">
      <c r="A20" s="7" t="s">
        <v>394</v>
      </c>
      <c r="B20" s="175">
        <v>529</v>
      </c>
      <c r="C20" s="176">
        <v>5</v>
      </c>
      <c r="D20" s="177">
        <f t="shared" si="0"/>
        <v>2645</v>
      </c>
      <c r="E20" s="178"/>
      <c r="F20" s="7" t="s">
        <v>395</v>
      </c>
      <c r="G20" s="175"/>
      <c r="H20" s="179">
        <v>0.05</v>
      </c>
      <c r="I20" s="178"/>
      <c r="J20" s="7" t="s">
        <v>396</v>
      </c>
      <c r="K20" s="175"/>
      <c r="L20" s="180">
        <v>120</v>
      </c>
      <c r="N20" s="7" t="s">
        <v>397</v>
      </c>
      <c r="O20" s="175"/>
      <c r="P20" s="176">
        <v>3</v>
      </c>
    </row>
    <row r="21" spans="1:16" ht="15.75" customHeight="1">
      <c r="A21" s="7" t="s">
        <v>398</v>
      </c>
      <c r="B21" s="175">
        <v>489</v>
      </c>
      <c r="C21" s="176">
        <v>10</v>
      </c>
      <c r="D21" s="177">
        <f t="shared" si="0"/>
        <v>4890</v>
      </c>
      <c r="E21" s="178"/>
      <c r="F21" s="7" t="s">
        <v>399</v>
      </c>
      <c r="G21" s="175"/>
      <c r="H21" s="176">
        <f>B7</f>
        <v>50000</v>
      </c>
      <c r="I21" s="178"/>
      <c r="J21" s="7" t="s">
        <v>400</v>
      </c>
      <c r="K21" s="175"/>
      <c r="L21" s="176">
        <f>L19*L20</f>
        <v>61200.000000000007</v>
      </c>
      <c r="N21" s="7" t="s">
        <v>401</v>
      </c>
      <c r="O21" s="175"/>
      <c r="P21" s="177">
        <f>P19*P20</f>
        <v>300000</v>
      </c>
    </row>
    <row r="22" spans="1:16" ht="15.75" customHeight="1">
      <c r="A22" s="7" t="s">
        <v>402</v>
      </c>
      <c r="B22" s="175">
        <v>419</v>
      </c>
      <c r="C22" s="176">
        <v>25</v>
      </c>
      <c r="D22" s="177">
        <f t="shared" si="0"/>
        <v>10475</v>
      </c>
      <c r="E22" s="178"/>
      <c r="F22" s="7" t="s">
        <v>396</v>
      </c>
      <c r="G22" s="175"/>
      <c r="H22" s="177">
        <v>150</v>
      </c>
      <c r="I22" s="178"/>
      <c r="J22" s="7" t="s">
        <v>403</v>
      </c>
      <c r="K22" s="175"/>
      <c r="L22" s="176">
        <f>B9</f>
        <v>37</v>
      </c>
    </row>
    <row r="23" spans="1:16" ht="15.75" customHeight="1">
      <c r="A23" s="7" t="s">
        <v>404</v>
      </c>
      <c r="B23" s="175">
        <v>379</v>
      </c>
      <c r="C23" s="176">
        <v>50</v>
      </c>
      <c r="D23" s="177">
        <f t="shared" si="0"/>
        <v>18950</v>
      </c>
      <c r="E23" s="178"/>
      <c r="F23" s="7" t="s">
        <v>381</v>
      </c>
      <c r="G23" s="175"/>
      <c r="H23" s="177">
        <f>H21*H22</f>
        <v>7500000</v>
      </c>
      <c r="I23" s="178"/>
      <c r="J23" s="7" t="s">
        <v>381</v>
      </c>
      <c r="K23" s="175"/>
      <c r="L23" s="177">
        <f>L21*L22</f>
        <v>2264400.0000000005</v>
      </c>
    </row>
    <row r="24" spans="1:16" ht="15.75" customHeight="1">
      <c r="A24" s="7" t="s">
        <v>405</v>
      </c>
      <c r="B24" s="175">
        <v>339</v>
      </c>
      <c r="C24" s="176">
        <v>150</v>
      </c>
      <c r="D24" s="177">
        <f t="shared" si="0"/>
        <v>50850</v>
      </c>
      <c r="E24" s="178"/>
      <c r="G24" s="175"/>
      <c r="H24" s="177"/>
      <c r="I24" s="178"/>
    </row>
    <row r="25" spans="1:16" ht="15.75" customHeight="1">
      <c r="A25" s="7" t="s">
        <v>406</v>
      </c>
      <c r="B25" s="181">
        <v>299</v>
      </c>
      <c r="C25" s="176">
        <v>300</v>
      </c>
      <c r="D25" s="177">
        <f t="shared" si="0"/>
        <v>89700</v>
      </c>
      <c r="G25" s="181"/>
      <c r="H25" s="177"/>
    </row>
    <row r="26" spans="1:16" ht="15.75" customHeight="1">
      <c r="B26" s="181"/>
      <c r="D26" s="133"/>
      <c r="G26" s="181"/>
      <c r="H26" s="133"/>
    </row>
    <row r="27" spans="1:16" ht="15.75" customHeight="1">
      <c r="B27" s="181"/>
      <c r="D27" s="133"/>
      <c r="G27" s="181"/>
      <c r="H27" s="133"/>
    </row>
    <row r="28" spans="1:16" ht="15.75" customHeight="1">
      <c r="A28" s="7" t="s">
        <v>407</v>
      </c>
      <c r="B28" s="181">
        <v>36</v>
      </c>
      <c r="C28" s="176">
        <v>1</v>
      </c>
      <c r="D28" s="177">
        <f t="shared" ref="D28:D34" si="1">C28*B28</f>
        <v>36</v>
      </c>
      <c r="G28" s="181"/>
      <c r="H28" s="177"/>
    </row>
    <row r="29" spans="1:16" ht="15.75" customHeight="1">
      <c r="A29" s="7" t="s">
        <v>408</v>
      </c>
      <c r="B29" s="181">
        <v>31</v>
      </c>
      <c r="C29" s="176">
        <v>5</v>
      </c>
      <c r="D29" s="177">
        <f t="shared" si="1"/>
        <v>155</v>
      </c>
      <c r="G29" s="181"/>
      <c r="H29" s="177"/>
    </row>
    <row r="30" spans="1:16" ht="15.75" customHeight="1">
      <c r="A30" s="7" t="s">
        <v>409</v>
      </c>
      <c r="B30" s="181">
        <v>26</v>
      </c>
      <c r="C30" s="176">
        <v>10</v>
      </c>
      <c r="D30" s="177">
        <f t="shared" si="1"/>
        <v>260</v>
      </c>
      <c r="G30" s="181"/>
      <c r="H30" s="177"/>
    </row>
    <row r="31" spans="1:16" ht="15.75" customHeight="1">
      <c r="A31" s="7" t="s">
        <v>410</v>
      </c>
      <c r="B31" s="181">
        <v>21</v>
      </c>
      <c r="C31" s="176">
        <v>25</v>
      </c>
      <c r="D31" s="177">
        <f t="shared" si="1"/>
        <v>525</v>
      </c>
      <c r="G31" s="181"/>
      <c r="H31" s="177"/>
    </row>
    <row r="32" spans="1:16" ht="15.75" customHeight="1">
      <c r="A32" s="7" t="s">
        <v>411</v>
      </c>
      <c r="B32" s="181">
        <v>16</v>
      </c>
      <c r="C32" s="176">
        <v>50</v>
      </c>
      <c r="D32" s="177">
        <f t="shared" si="1"/>
        <v>800</v>
      </c>
      <c r="G32" s="181"/>
      <c r="H32" s="177"/>
    </row>
    <row r="33" spans="1:5" ht="15.75" customHeight="1">
      <c r="A33" s="7" t="s">
        <v>412</v>
      </c>
      <c r="B33" s="181">
        <v>12</v>
      </c>
      <c r="C33" s="176">
        <v>150</v>
      </c>
      <c r="D33" s="177">
        <f t="shared" si="1"/>
        <v>1800</v>
      </c>
    </row>
    <row r="34" spans="1:5" ht="15.75" customHeight="1">
      <c r="A34" s="7" t="s">
        <v>413</v>
      </c>
      <c r="B34" s="181">
        <v>7</v>
      </c>
      <c r="C34" s="176">
        <v>300</v>
      </c>
      <c r="D34" s="177">
        <f t="shared" si="1"/>
        <v>2100</v>
      </c>
    </row>
    <row r="35" spans="1:5" ht="15.75" customHeight="1"/>
    <row r="36" spans="1:5" ht="15.75" customHeight="1">
      <c r="B36" s="181"/>
      <c r="D36" s="133">
        <f>SUM(D19:D34)</f>
        <v>183835</v>
      </c>
      <c r="E36" s="7" t="s">
        <v>414</v>
      </c>
    </row>
    <row r="37" spans="1:5" ht="15.75" customHeight="1">
      <c r="D37" s="7">
        <v>25</v>
      </c>
    </row>
    <row r="38" spans="1:5" ht="15.75" customHeight="1">
      <c r="A38" s="7" t="s">
        <v>381</v>
      </c>
      <c r="D38" s="133">
        <f>D36*D37</f>
        <v>4595875</v>
      </c>
    </row>
    <row r="39" spans="1:5" ht="15.75" customHeight="1"/>
    <row r="40" spans="1:5" ht="15.75" customHeight="1">
      <c r="C40" s="182"/>
    </row>
    <row r="41" spans="1:5" ht="15.75" customHeight="1">
      <c r="A41" s="7" t="s">
        <v>415</v>
      </c>
      <c r="C41" s="182">
        <f>SUM(C19:C34)</f>
        <v>1082</v>
      </c>
    </row>
    <row r="42" spans="1:5" ht="15.75" customHeight="1">
      <c r="A42" s="7" t="s">
        <v>416</v>
      </c>
      <c r="C42" s="182">
        <v>25</v>
      </c>
    </row>
    <row r="43" spans="1:5" ht="15.75" customHeight="1">
      <c r="A43" s="7" t="s">
        <v>149</v>
      </c>
      <c r="C43" s="182">
        <f>C41*C42</f>
        <v>27050</v>
      </c>
    </row>
  </sheetData>
  <mergeCells count="7">
    <mergeCell ref="J17:L17"/>
    <mergeCell ref="N17:P17"/>
    <mergeCell ref="A1:B1"/>
    <mergeCell ref="A3:B3"/>
    <mergeCell ref="F3:H3"/>
    <mergeCell ref="A17:D17"/>
    <mergeCell ref="F17:H17"/>
  </mergeCell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5"/>
  <sheetViews>
    <sheetView workbookViewId="0"/>
  </sheetViews>
  <sheetFormatPr baseColWidth="10" defaultColWidth="12.5" defaultRowHeight="15" customHeight="1"/>
  <cols>
    <col min="1" max="1" width="32.5" customWidth="1"/>
    <col min="2" max="2" width="9.5" customWidth="1"/>
    <col min="3" max="4" width="3.83203125" customWidth="1"/>
    <col min="5" max="5" width="10.83203125" customWidth="1"/>
    <col min="6" max="6" width="25.5" customWidth="1"/>
    <col min="7" max="7" width="32.6640625" customWidth="1"/>
    <col min="8" max="9" width="13.5" customWidth="1"/>
    <col min="10" max="10" width="10" customWidth="1"/>
    <col min="11" max="11" width="13.5" customWidth="1"/>
    <col min="12" max="12" width="10" customWidth="1"/>
    <col min="13" max="13" width="13.5" customWidth="1"/>
    <col min="14" max="14" width="10.5" customWidth="1"/>
    <col min="15" max="16" width="10" customWidth="1"/>
    <col min="17" max="17" width="10.83203125" customWidth="1"/>
    <col min="18" max="26" width="7.6640625" customWidth="1"/>
  </cols>
  <sheetData>
    <row r="1" spans="1:17">
      <c r="A1" s="1120" t="s">
        <v>417</v>
      </c>
      <c r="B1" s="1121"/>
      <c r="C1" s="146"/>
      <c r="D1" s="14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47"/>
      <c r="B2" s="148"/>
      <c r="C2" s="148"/>
      <c r="D2" s="148"/>
      <c r="E2" s="147"/>
      <c r="F2" s="147"/>
      <c r="G2" s="147"/>
      <c r="H2" s="147"/>
      <c r="I2" s="147"/>
      <c r="J2" s="147"/>
      <c r="K2" s="147"/>
      <c r="L2" s="147"/>
      <c r="M2" s="148"/>
      <c r="N2" s="148"/>
      <c r="O2" s="148"/>
      <c r="P2" s="148"/>
      <c r="Q2" s="148"/>
    </row>
    <row r="3" spans="1:17">
      <c r="A3" s="1"/>
      <c r="B3" s="1"/>
      <c r="C3" s="1"/>
      <c r="D3" s="1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"/>
    </row>
    <row r="4" spans="1:17">
      <c r="A4" s="184"/>
      <c r="B4" s="184"/>
      <c r="C4" s="184"/>
      <c r="D4" s="184"/>
      <c r="E4" s="185" t="s">
        <v>49</v>
      </c>
      <c r="F4" s="185" t="s">
        <v>50</v>
      </c>
      <c r="G4" s="185" t="s">
        <v>51</v>
      </c>
      <c r="H4" s="185" t="s">
        <v>52</v>
      </c>
      <c r="I4" s="185" t="s">
        <v>53</v>
      </c>
      <c r="J4" s="185" t="s">
        <v>54</v>
      </c>
      <c r="K4" s="185" t="s">
        <v>55</v>
      </c>
      <c r="L4" s="185" t="s">
        <v>56</v>
      </c>
      <c r="M4" s="185" t="s">
        <v>57</v>
      </c>
      <c r="N4" s="185" t="s">
        <v>58</v>
      </c>
      <c r="O4" s="185" t="s">
        <v>59</v>
      </c>
      <c r="P4" s="185" t="s">
        <v>60</v>
      </c>
      <c r="Q4" s="186" t="s">
        <v>65</v>
      </c>
    </row>
    <row r="5" spans="1:17">
      <c r="A5" s="187"/>
      <c r="B5" s="187" t="s">
        <v>20</v>
      </c>
      <c r="C5" s="187"/>
      <c r="D5" s="187"/>
      <c r="E5" s="188"/>
      <c r="F5" s="188"/>
      <c r="G5" s="188"/>
      <c r="H5" s="189">
        <v>0.2</v>
      </c>
      <c r="I5" s="189">
        <v>0.3</v>
      </c>
      <c r="J5" s="189">
        <v>0.4</v>
      </c>
      <c r="K5" s="189">
        <v>0.5</v>
      </c>
      <c r="L5" s="189">
        <v>0.6</v>
      </c>
      <c r="M5" s="189">
        <v>0.7</v>
      </c>
      <c r="N5" s="189">
        <v>0.8</v>
      </c>
      <c r="O5" s="189">
        <v>0.9</v>
      </c>
      <c r="P5" s="189">
        <v>1</v>
      </c>
      <c r="Q5" s="190"/>
    </row>
    <row r="6" spans="1:17">
      <c r="A6" s="191"/>
      <c r="B6" s="192" t="s">
        <v>70</v>
      </c>
      <c r="C6" s="193"/>
      <c r="D6" s="193"/>
      <c r="E6" s="194">
        <v>0</v>
      </c>
      <c r="F6" s="194">
        <v>0</v>
      </c>
      <c r="G6" s="194">
        <v>0</v>
      </c>
      <c r="H6" s="194">
        <v>0</v>
      </c>
      <c r="I6" s="194">
        <v>0</v>
      </c>
      <c r="J6" s="194">
        <v>0</v>
      </c>
      <c r="K6" s="194">
        <v>0</v>
      </c>
      <c r="L6" s="194">
        <v>0</v>
      </c>
      <c r="M6" s="194">
        <v>0</v>
      </c>
      <c r="N6" s="194">
        <v>0</v>
      </c>
      <c r="O6" s="194">
        <v>0</v>
      </c>
      <c r="P6" s="194">
        <v>0</v>
      </c>
      <c r="Q6" s="195">
        <f>SUM(E6:P6)</f>
        <v>0</v>
      </c>
    </row>
    <row r="7" spans="1:17">
      <c r="A7" s="1"/>
      <c r="B7" s="1"/>
      <c r="C7" s="1"/>
      <c r="D7" s="1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7"/>
    </row>
    <row r="8" spans="1:17">
      <c r="A8" s="187"/>
      <c r="B8" s="187" t="s">
        <v>86</v>
      </c>
      <c r="C8" s="187"/>
      <c r="D8" s="187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</row>
    <row r="9" spans="1:17">
      <c r="A9" s="199" t="s">
        <v>418</v>
      </c>
      <c r="B9" s="199"/>
      <c r="C9" s="199"/>
      <c r="D9" s="199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1"/>
    </row>
    <row r="10" spans="1:17">
      <c r="A10" s="202"/>
      <c r="B10" s="203" t="s">
        <v>418</v>
      </c>
      <c r="C10" s="204">
        <f>Assumptions!I24</f>
        <v>0</v>
      </c>
      <c r="D10" s="204"/>
      <c r="E10" s="203">
        <f t="shared" ref="E10:P10" si="0">E6*($C$10)</f>
        <v>0</v>
      </c>
      <c r="F10" s="203">
        <f t="shared" si="0"/>
        <v>0</v>
      </c>
      <c r="G10" s="203">
        <f t="shared" si="0"/>
        <v>0</v>
      </c>
      <c r="H10" s="203">
        <f t="shared" si="0"/>
        <v>0</v>
      </c>
      <c r="I10" s="203">
        <f t="shared" si="0"/>
        <v>0</v>
      </c>
      <c r="J10" s="203">
        <f t="shared" si="0"/>
        <v>0</v>
      </c>
      <c r="K10" s="203">
        <f t="shared" si="0"/>
        <v>0</v>
      </c>
      <c r="L10" s="203">
        <f t="shared" si="0"/>
        <v>0</v>
      </c>
      <c r="M10" s="203">
        <f t="shared" si="0"/>
        <v>0</v>
      </c>
      <c r="N10" s="203">
        <f t="shared" si="0"/>
        <v>0</v>
      </c>
      <c r="O10" s="203">
        <f t="shared" si="0"/>
        <v>0</v>
      </c>
      <c r="P10" s="203">
        <f t="shared" si="0"/>
        <v>0</v>
      </c>
      <c r="Q10" s="205">
        <f t="shared" ref="Q10:Q11" si="1">SUM(E10:P10)</f>
        <v>0</v>
      </c>
    </row>
    <row r="11" spans="1:17">
      <c r="A11" s="176"/>
      <c r="B11" s="203" t="s">
        <v>419</v>
      </c>
      <c r="C11" s="203"/>
      <c r="D11" s="203"/>
      <c r="E11" s="203">
        <f t="shared" ref="E11:P11" si="2">E6*0.025</f>
        <v>0</v>
      </c>
      <c r="F11" s="203">
        <f t="shared" si="2"/>
        <v>0</v>
      </c>
      <c r="G11" s="203">
        <f t="shared" si="2"/>
        <v>0</v>
      </c>
      <c r="H11" s="203">
        <f t="shared" si="2"/>
        <v>0</v>
      </c>
      <c r="I11" s="203">
        <f t="shared" si="2"/>
        <v>0</v>
      </c>
      <c r="J11" s="203">
        <f t="shared" si="2"/>
        <v>0</v>
      </c>
      <c r="K11" s="203">
        <f t="shared" si="2"/>
        <v>0</v>
      </c>
      <c r="L11" s="203">
        <f t="shared" si="2"/>
        <v>0</v>
      </c>
      <c r="M11" s="203">
        <f t="shared" si="2"/>
        <v>0</v>
      </c>
      <c r="N11" s="203">
        <f t="shared" si="2"/>
        <v>0</v>
      </c>
      <c r="O11" s="203">
        <f t="shared" si="2"/>
        <v>0</v>
      </c>
      <c r="P11" s="203">
        <f t="shared" si="2"/>
        <v>0</v>
      </c>
      <c r="Q11" s="205">
        <f t="shared" si="1"/>
        <v>0</v>
      </c>
    </row>
    <row r="12" spans="1:17">
      <c r="A12" s="206"/>
      <c r="B12" s="207"/>
      <c r="C12" s="162"/>
      <c r="D12" s="162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5"/>
    </row>
    <row r="13" spans="1:17">
      <c r="A13" s="208"/>
      <c r="B13" s="209" t="s">
        <v>420</v>
      </c>
      <c r="C13" s="192"/>
      <c r="D13" s="192"/>
      <c r="E13" s="210">
        <f t="shared" ref="E13:Q13" si="3">SUM(E10:E12)</f>
        <v>0</v>
      </c>
      <c r="F13" s="210">
        <f t="shared" si="3"/>
        <v>0</v>
      </c>
      <c r="G13" s="210">
        <f t="shared" si="3"/>
        <v>0</v>
      </c>
      <c r="H13" s="210">
        <f t="shared" si="3"/>
        <v>0</v>
      </c>
      <c r="I13" s="210">
        <f t="shared" si="3"/>
        <v>0</v>
      </c>
      <c r="J13" s="210">
        <f t="shared" si="3"/>
        <v>0</v>
      </c>
      <c r="K13" s="210">
        <f t="shared" si="3"/>
        <v>0</v>
      </c>
      <c r="L13" s="210">
        <f t="shared" si="3"/>
        <v>0</v>
      </c>
      <c r="M13" s="210">
        <f t="shared" si="3"/>
        <v>0</v>
      </c>
      <c r="N13" s="210">
        <f t="shared" si="3"/>
        <v>0</v>
      </c>
      <c r="O13" s="210">
        <f t="shared" si="3"/>
        <v>0</v>
      </c>
      <c r="P13" s="210">
        <f t="shared" si="3"/>
        <v>0</v>
      </c>
      <c r="Q13" s="211">
        <f t="shared" si="3"/>
        <v>0</v>
      </c>
    </row>
    <row r="14" spans="1:17">
      <c r="A14" s="212" t="s">
        <v>421</v>
      </c>
      <c r="B14" s="192"/>
      <c r="C14" s="192"/>
      <c r="D14" s="192"/>
      <c r="E14" s="213">
        <f t="shared" ref="E14:Q14" si="4">E6-E13</f>
        <v>0</v>
      </c>
      <c r="F14" s="213">
        <f t="shared" si="4"/>
        <v>0</v>
      </c>
      <c r="G14" s="213">
        <f t="shared" si="4"/>
        <v>0</v>
      </c>
      <c r="H14" s="213">
        <f t="shared" si="4"/>
        <v>0</v>
      </c>
      <c r="I14" s="213">
        <f t="shared" si="4"/>
        <v>0</v>
      </c>
      <c r="J14" s="213">
        <f t="shared" si="4"/>
        <v>0</v>
      </c>
      <c r="K14" s="213">
        <f t="shared" si="4"/>
        <v>0</v>
      </c>
      <c r="L14" s="213">
        <f t="shared" si="4"/>
        <v>0</v>
      </c>
      <c r="M14" s="213">
        <f t="shared" si="4"/>
        <v>0</v>
      </c>
      <c r="N14" s="213">
        <f t="shared" si="4"/>
        <v>0</v>
      </c>
      <c r="O14" s="213">
        <f t="shared" si="4"/>
        <v>0</v>
      </c>
      <c r="P14" s="213">
        <f t="shared" si="4"/>
        <v>0</v>
      </c>
      <c r="Q14" s="211">
        <f t="shared" si="4"/>
        <v>0</v>
      </c>
    </row>
    <row r="15" spans="1:17">
      <c r="A15" s="214"/>
      <c r="B15" s="193"/>
      <c r="C15" s="193"/>
      <c r="D15" s="193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6"/>
    </row>
    <row r="16" spans="1:17">
      <c r="A16" s="187"/>
      <c r="B16" s="187" t="s">
        <v>422</v>
      </c>
      <c r="C16" s="187"/>
      <c r="D16" s="187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</row>
    <row r="17" spans="1:17">
      <c r="A17" s="217" t="s">
        <v>423</v>
      </c>
      <c r="B17" s="218"/>
      <c r="C17" s="219">
        <f>Assumptions!I26</f>
        <v>0</v>
      </c>
      <c r="D17" s="219"/>
      <c r="E17" s="217">
        <f t="shared" ref="E17:Q17" si="5">ROUND(E$14*$C17,0)</f>
        <v>0</v>
      </c>
      <c r="F17" s="217">
        <f t="shared" si="5"/>
        <v>0</v>
      </c>
      <c r="G17" s="217">
        <f t="shared" si="5"/>
        <v>0</v>
      </c>
      <c r="H17" s="217">
        <f t="shared" si="5"/>
        <v>0</v>
      </c>
      <c r="I17" s="217">
        <f t="shared" si="5"/>
        <v>0</v>
      </c>
      <c r="J17" s="217">
        <f t="shared" si="5"/>
        <v>0</v>
      </c>
      <c r="K17" s="217">
        <f t="shared" si="5"/>
        <v>0</v>
      </c>
      <c r="L17" s="217">
        <f t="shared" si="5"/>
        <v>0</v>
      </c>
      <c r="M17" s="217">
        <f t="shared" si="5"/>
        <v>0</v>
      </c>
      <c r="N17" s="217">
        <f t="shared" si="5"/>
        <v>0</v>
      </c>
      <c r="O17" s="217">
        <f t="shared" si="5"/>
        <v>0</v>
      </c>
      <c r="P17" s="217">
        <f t="shared" si="5"/>
        <v>0</v>
      </c>
      <c r="Q17" s="220">
        <f t="shared" si="5"/>
        <v>0</v>
      </c>
    </row>
    <row r="18" spans="1:17">
      <c r="A18" s="221" t="s">
        <v>132</v>
      </c>
      <c r="B18" s="222"/>
      <c r="C18" s="223" t="str">
        <f>Assumptions!I27</f>
        <v>Margin</v>
      </c>
      <c r="D18" s="223"/>
      <c r="E18" s="221" t="e">
        <f t="shared" ref="E18:Q18" si="6">ROUND(E$14*$C18,0)</f>
        <v>#VALUE!</v>
      </c>
      <c r="F18" s="221" t="e">
        <f t="shared" si="6"/>
        <v>#VALUE!</v>
      </c>
      <c r="G18" s="221" t="e">
        <f t="shared" si="6"/>
        <v>#VALUE!</v>
      </c>
      <c r="H18" s="221" t="e">
        <f t="shared" si="6"/>
        <v>#VALUE!</v>
      </c>
      <c r="I18" s="221" t="e">
        <f t="shared" si="6"/>
        <v>#VALUE!</v>
      </c>
      <c r="J18" s="221" t="e">
        <f t="shared" si="6"/>
        <v>#VALUE!</v>
      </c>
      <c r="K18" s="221" t="e">
        <f t="shared" si="6"/>
        <v>#VALUE!</v>
      </c>
      <c r="L18" s="221" t="e">
        <f t="shared" si="6"/>
        <v>#VALUE!</v>
      </c>
      <c r="M18" s="221" t="e">
        <f t="shared" si="6"/>
        <v>#VALUE!</v>
      </c>
      <c r="N18" s="221" t="e">
        <f t="shared" si="6"/>
        <v>#VALUE!</v>
      </c>
      <c r="O18" s="221" t="e">
        <f t="shared" si="6"/>
        <v>#VALUE!</v>
      </c>
      <c r="P18" s="221" t="e">
        <f t="shared" si="6"/>
        <v>#VALUE!</v>
      </c>
      <c r="Q18" s="224" t="e">
        <f t="shared" si="6"/>
        <v>#VALUE!</v>
      </c>
    </row>
    <row r="19" spans="1:17">
      <c r="A19" s="225" t="s">
        <v>424</v>
      </c>
      <c r="B19" s="226"/>
      <c r="C19" s="227">
        <f>Assumptions!I28</f>
        <v>15925000</v>
      </c>
      <c r="D19" s="227"/>
      <c r="E19" s="225">
        <f t="shared" ref="E19:Q19" si="7">ROUND(E$14*$C19,0)</f>
        <v>0</v>
      </c>
      <c r="F19" s="225">
        <f t="shared" si="7"/>
        <v>0</v>
      </c>
      <c r="G19" s="225">
        <f t="shared" si="7"/>
        <v>0</v>
      </c>
      <c r="H19" s="225">
        <f t="shared" si="7"/>
        <v>0</v>
      </c>
      <c r="I19" s="225">
        <f t="shared" si="7"/>
        <v>0</v>
      </c>
      <c r="J19" s="225">
        <f t="shared" si="7"/>
        <v>0</v>
      </c>
      <c r="K19" s="225">
        <f t="shared" si="7"/>
        <v>0</v>
      </c>
      <c r="L19" s="225">
        <f t="shared" si="7"/>
        <v>0</v>
      </c>
      <c r="M19" s="225">
        <f t="shared" si="7"/>
        <v>0</v>
      </c>
      <c r="N19" s="225">
        <f t="shared" si="7"/>
        <v>0</v>
      </c>
      <c r="O19" s="225">
        <f t="shared" si="7"/>
        <v>0</v>
      </c>
      <c r="P19" s="225">
        <f t="shared" si="7"/>
        <v>0</v>
      </c>
      <c r="Q19" s="228">
        <f t="shared" si="7"/>
        <v>0</v>
      </c>
    </row>
    <row r="20" spans="1:17">
      <c r="A20" s="229" t="s">
        <v>131</v>
      </c>
      <c r="B20" s="230"/>
      <c r="C20" s="231">
        <f>Assumptions!I29</f>
        <v>4550000</v>
      </c>
      <c r="D20" s="231"/>
      <c r="E20" s="229">
        <f t="shared" ref="E20:Q20" si="8">ROUND(E$14*$C20,0)</f>
        <v>0</v>
      </c>
      <c r="F20" s="229">
        <f t="shared" si="8"/>
        <v>0</v>
      </c>
      <c r="G20" s="229">
        <f t="shared" si="8"/>
        <v>0</v>
      </c>
      <c r="H20" s="229">
        <f t="shared" si="8"/>
        <v>0</v>
      </c>
      <c r="I20" s="229">
        <f t="shared" si="8"/>
        <v>0</v>
      </c>
      <c r="J20" s="229">
        <f t="shared" si="8"/>
        <v>0</v>
      </c>
      <c r="K20" s="229">
        <f t="shared" si="8"/>
        <v>0</v>
      </c>
      <c r="L20" s="229">
        <f t="shared" si="8"/>
        <v>0</v>
      </c>
      <c r="M20" s="229">
        <f t="shared" si="8"/>
        <v>0</v>
      </c>
      <c r="N20" s="229">
        <f t="shared" si="8"/>
        <v>0</v>
      </c>
      <c r="O20" s="229">
        <f t="shared" si="8"/>
        <v>0</v>
      </c>
      <c r="P20" s="229">
        <f t="shared" si="8"/>
        <v>0</v>
      </c>
      <c r="Q20" s="232">
        <f t="shared" si="8"/>
        <v>0</v>
      </c>
    </row>
    <row r="21" spans="1:17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customHeight="1">
      <c r="A22" s="7" t="s">
        <v>425</v>
      </c>
    </row>
    <row r="23" spans="1:17" ht="15.75" customHeight="1">
      <c r="A23" s="212" t="s">
        <v>426</v>
      </c>
      <c r="B23" s="192"/>
      <c r="C23" s="192"/>
      <c r="D23" s="192"/>
      <c r="E23" s="213">
        <f t="shared" ref="E23:Q23" si="9">E15-E22</f>
        <v>0</v>
      </c>
      <c r="F23" s="213">
        <f t="shared" si="9"/>
        <v>0</v>
      </c>
      <c r="G23" s="213">
        <f t="shared" si="9"/>
        <v>0</v>
      </c>
      <c r="H23" s="213">
        <f t="shared" si="9"/>
        <v>0</v>
      </c>
      <c r="I23" s="213">
        <f t="shared" si="9"/>
        <v>0</v>
      </c>
      <c r="J23" s="213">
        <f t="shared" si="9"/>
        <v>0</v>
      </c>
      <c r="K23" s="213">
        <f t="shared" si="9"/>
        <v>0</v>
      </c>
      <c r="L23" s="213">
        <f t="shared" si="9"/>
        <v>0</v>
      </c>
      <c r="M23" s="213">
        <f t="shared" si="9"/>
        <v>0</v>
      </c>
      <c r="N23" s="213">
        <f t="shared" si="9"/>
        <v>0</v>
      </c>
      <c r="O23" s="213">
        <f t="shared" si="9"/>
        <v>0</v>
      </c>
      <c r="P23" s="213">
        <f t="shared" si="9"/>
        <v>0</v>
      </c>
      <c r="Q23" s="211">
        <f t="shared" si="9"/>
        <v>0</v>
      </c>
    </row>
    <row r="24" spans="1:17" ht="15.75" customHeight="1"/>
    <row r="25" spans="1:17" ht="15.75" customHeight="1"/>
    <row r="26" spans="1:17" ht="15.75" customHeight="1"/>
    <row r="27" spans="1:17" ht="15.75" customHeight="1"/>
    <row r="28" spans="1:17" ht="15.75" customHeight="1"/>
    <row r="29" spans="1:17" ht="15.75" customHeight="1">
      <c r="F29" s="127" t="s">
        <v>142</v>
      </c>
      <c r="G29" s="127" t="s">
        <v>282</v>
      </c>
      <c r="H29" s="127" t="s">
        <v>427</v>
      </c>
      <c r="I29" s="127" t="s">
        <v>428</v>
      </c>
      <c r="J29" s="127" t="s">
        <v>429</v>
      </c>
    </row>
    <row r="30" spans="1:17" ht="15.75" customHeight="1">
      <c r="F30" s="127" t="s">
        <v>430</v>
      </c>
      <c r="G30" s="7" t="s">
        <v>431</v>
      </c>
      <c r="H30" s="233">
        <v>0.04</v>
      </c>
      <c r="I30" s="134">
        <v>425000</v>
      </c>
      <c r="J30" s="234">
        <v>17000</v>
      </c>
    </row>
    <row r="31" spans="1:17" ht="15.75" customHeight="1">
      <c r="F31" s="127" t="s">
        <v>432</v>
      </c>
      <c r="G31" s="7" t="s">
        <v>433</v>
      </c>
      <c r="H31" s="233">
        <v>0.1</v>
      </c>
      <c r="I31" s="134">
        <v>50000</v>
      </c>
      <c r="J31" s="234">
        <v>5000</v>
      </c>
    </row>
    <row r="32" spans="1:17" ht="15.75" customHeight="1">
      <c r="F32" s="127" t="s">
        <v>434</v>
      </c>
      <c r="G32" s="7" t="s">
        <v>435</v>
      </c>
      <c r="H32" s="7" t="s">
        <v>436</v>
      </c>
      <c r="I32" s="134">
        <v>25000</v>
      </c>
      <c r="J32" s="234">
        <v>50000</v>
      </c>
    </row>
    <row r="33" spans="6:10" ht="15.75" customHeight="1">
      <c r="F33" s="127" t="s">
        <v>437</v>
      </c>
      <c r="J33" s="235">
        <v>72000</v>
      </c>
    </row>
    <row r="34" spans="6:10" ht="15.75" customHeight="1"/>
    <row r="35" spans="6:10" ht="15.75" customHeight="1">
      <c r="F35" s="127" t="s">
        <v>438</v>
      </c>
      <c r="G35" s="7" t="s">
        <v>439</v>
      </c>
      <c r="H35" s="233">
        <v>7.0000000000000007E-2</v>
      </c>
      <c r="I35" s="7" t="s">
        <v>440</v>
      </c>
      <c r="J35" s="234">
        <v>4375</v>
      </c>
    </row>
    <row r="36" spans="6:10" ht="15.75" customHeight="1">
      <c r="F36" s="127" t="s">
        <v>441</v>
      </c>
      <c r="G36" s="7" t="s">
        <v>442</v>
      </c>
      <c r="H36" s="233">
        <v>0.6</v>
      </c>
      <c r="I36" s="7" t="s">
        <v>443</v>
      </c>
      <c r="J36" s="234">
        <v>3300</v>
      </c>
    </row>
    <row r="37" spans="6:10" ht="15.75" customHeight="1">
      <c r="F37" s="127" t="s">
        <v>444</v>
      </c>
      <c r="G37" s="7" t="s">
        <v>445</v>
      </c>
      <c r="H37" s="233">
        <v>1.5</v>
      </c>
      <c r="I37" s="7" t="s">
        <v>446</v>
      </c>
      <c r="J37" s="234">
        <v>675</v>
      </c>
    </row>
    <row r="38" spans="6:10" ht="15.75" customHeight="1">
      <c r="F38" s="127" t="s">
        <v>447</v>
      </c>
      <c r="J38" s="235">
        <v>8350</v>
      </c>
    </row>
    <row r="39" spans="6:10" ht="15.75" customHeight="1"/>
    <row r="40" spans="6:10" ht="15.75" customHeight="1">
      <c r="F40" s="127" t="s">
        <v>448</v>
      </c>
      <c r="G40" s="7" t="s">
        <v>449</v>
      </c>
      <c r="H40" s="233">
        <v>0.02</v>
      </c>
      <c r="I40" s="134">
        <v>500000</v>
      </c>
      <c r="J40" s="234">
        <v>10000</v>
      </c>
    </row>
    <row r="41" spans="6:10" ht="15.75" customHeight="1">
      <c r="F41" s="127" t="s">
        <v>450</v>
      </c>
      <c r="G41" s="7" t="s">
        <v>451</v>
      </c>
      <c r="H41" s="7" t="s">
        <v>452</v>
      </c>
      <c r="I41" s="7" t="s">
        <v>453</v>
      </c>
      <c r="J41" s="234">
        <v>5000</v>
      </c>
    </row>
    <row r="42" spans="6:10" ht="15.75" customHeight="1">
      <c r="F42" s="127" t="s">
        <v>454</v>
      </c>
      <c r="G42" s="7" t="s">
        <v>455</v>
      </c>
      <c r="H42" s="7" t="s">
        <v>456</v>
      </c>
      <c r="I42" s="7" t="s">
        <v>453</v>
      </c>
      <c r="J42" s="234">
        <v>1500</v>
      </c>
    </row>
    <row r="43" spans="6:10" ht="15.75" customHeight="1">
      <c r="F43" s="127" t="s">
        <v>457</v>
      </c>
      <c r="J43" s="235">
        <v>16500</v>
      </c>
    </row>
    <row r="44" spans="6:10" ht="15.75" customHeight="1"/>
    <row r="45" spans="6:10" ht="15.75" customHeight="1">
      <c r="F45" s="127" t="s">
        <v>458</v>
      </c>
      <c r="J45" s="127" t="s">
        <v>459</v>
      </c>
    </row>
  </sheetData>
  <mergeCells count="1">
    <mergeCell ref="A1:B1"/>
  </mergeCells>
  <pageMargins left="0.7" right="0.7" top="0.75" bottom="0.75" header="0" footer="0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R69"/>
  <sheetViews>
    <sheetView workbookViewId="0"/>
  </sheetViews>
  <sheetFormatPr baseColWidth="10" defaultColWidth="12.5" defaultRowHeight="15" customHeight="1"/>
  <cols>
    <col min="1" max="1" width="32.5" customWidth="1"/>
    <col min="2" max="2" width="9.5" customWidth="1"/>
    <col min="3" max="4" width="3.83203125" customWidth="1"/>
    <col min="5" max="5" width="10.83203125" customWidth="1"/>
    <col min="6" max="6" width="12.5" customWidth="1"/>
    <col min="7" max="10" width="13.5" customWidth="1"/>
    <col min="11" max="11" width="10.83203125" customWidth="1"/>
    <col min="12" max="12" width="12.5" customWidth="1"/>
    <col min="13" max="16" width="13.5" customWidth="1"/>
    <col min="17" max="17" width="10.83203125" customWidth="1"/>
    <col min="18" max="18" width="12.5" customWidth="1"/>
    <col min="19" max="22" width="13.5" customWidth="1"/>
    <col min="23" max="23" width="10.83203125" customWidth="1"/>
    <col min="24" max="24" width="12.5" customWidth="1"/>
    <col min="25" max="27" width="13.5" customWidth="1"/>
    <col min="28" max="28" width="14.33203125" customWidth="1"/>
    <col min="29" max="29" width="10.83203125" customWidth="1"/>
    <col min="30" max="30" width="12.5" customWidth="1"/>
    <col min="31" max="32" width="13.5" customWidth="1"/>
    <col min="33" max="34" width="14.33203125" customWidth="1"/>
    <col min="35" max="42" width="10" customWidth="1"/>
    <col min="43" max="43" width="10.83203125" customWidth="1"/>
    <col min="44" max="55" width="10" customWidth="1"/>
    <col min="56" max="56" width="12" customWidth="1"/>
    <col min="57" max="68" width="10.83203125" customWidth="1"/>
    <col min="69" max="70" width="12" customWidth="1"/>
  </cols>
  <sheetData>
    <row r="1" spans="1:70">
      <c r="A1" s="1120" t="s">
        <v>417</v>
      </c>
      <c r="B1" s="1121"/>
      <c r="C1" s="146"/>
      <c r="D1" s="14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6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</row>
    <row r="2" spans="1:70">
      <c r="A2" s="147"/>
      <c r="B2" s="148"/>
      <c r="C2" s="148"/>
      <c r="D2" s="148"/>
      <c r="E2" s="147"/>
      <c r="F2" s="147"/>
      <c r="G2" s="147"/>
      <c r="H2" s="147"/>
      <c r="I2" s="147"/>
      <c r="J2" s="147"/>
      <c r="K2" s="147"/>
      <c r="L2" s="147"/>
      <c r="M2" s="148"/>
      <c r="N2" s="148"/>
      <c r="O2" s="148"/>
      <c r="P2" s="148"/>
      <c r="Q2" s="148"/>
      <c r="R2" s="147"/>
      <c r="S2" s="147"/>
      <c r="T2" s="147"/>
      <c r="U2" s="147"/>
      <c r="V2" s="147"/>
      <c r="W2" s="147"/>
      <c r="X2" s="147"/>
      <c r="Y2" s="147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7"/>
      <c r="BR2" s="147"/>
    </row>
    <row r="3" spans="1:70">
      <c r="A3" s="1"/>
      <c r="B3" s="1"/>
      <c r="C3" s="1"/>
      <c r="D3" s="1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62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</row>
    <row r="4" spans="1:70">
      <c r="A4" s="184"/>
      <c r="B4" s="184"/>
      <c r="C4" s="184"/>
      <c r="D4" s="184"/>
      <c r="E4" s="185" t="s">
        <v>49</v>
      </c>
      <c r="F4" s="185" t="s">
        <v>50</v>
      </c>
      <c r="G4" s="185" t="s">
        <v>51</v>
      </c>
      <c r="H4" s="185" t="s">
        <v>52</v>
      </c>
      <c r="I4" s="185" t="s">
        <v>53</v>
      </c>
      <c r="J4" s="185" t="s">
        <v>54</v>
      </c>
      <c r="K4" s="185" t="s">
        <v>55</v>
      </c>
      <c r="L4" s="185" t="s">
        <v>56</v>
      </c>
      <c r="M4" s="185" t="s">
        <v>57</v>
      </c>
      <c r="N4" s="185" t="s">
        <v>58</v>
      </c>
      <c r="O4" s="185" t="s">
        <v>59</v>
      </c>
      <c r="P4" s="185" t="s">
        <v>60</v>
      </c>
      <c r="Q4" s="186" t="s">
        <v>65</v>
      </c>
      <c r="R4" s="185" t="s">
        <v>291</v>
      </c>
      <c r="S4" s="185" t="s">
        <v>308</v>
      </c>
      <c r="T4" s="185" t="s">
        <v>309</v>
      </c>
      <c r="U4" s="185" t="s">
        <v>310</v>
      </c>
      <c r="V4" s="185" t="s">
        <v>311</v>
      </c>
      <c r="W4" s="185" t="s">
        <v>312</v>
      </c>
      <c r="X4" s="185" t="s">
        <v>313</v>
      </c>
      <c r="Y4" s="185" t="s">
        <v>314</v>
      </c>
      <c r="Z4" s="185" t="s">
        <v>315</v>
      </c>
      <c r="AA4" s="185" t="s">
        <v>316</v>
      </c>
      <c r="AB4" s="185" t="s">
        <v>317</v>
      </c>
      <c r="AC4" s="185" t="s">
        <v>318</v>
      </c>
      <c r="AD4" s="186" t="s">
        <v>121</v>
      </c>
      <c r="AE4" s="185" t="s">
        <v>319</v>
      </c>
      <c r="AF4" s="185" t="s">
        <v>320</v>
      </c>
      <c r="AG4" s="185" t="s">
        <v>321</v>
      </c>
      <c r="AH4" s="185" t="s">
        <v>322</v>
      </c>
      <c r="AI4" s="185" t="s">
        <v>323</v>
      </c>
      <c r="AJ4" s="185" t="s">
        <v>324</v>
      </c>
      <c r="AK4" s="185" t="s">
        <v>325</v>
      </c>
      <c r="AL4" s="185" t="s">
        <v>326</v>
      </c>
      <c r="AM4" s="185" t="s">
        <v>327</v>
      </c>
      <c r="AN4" s="185" t="s">
        <v>328</v>
      </c>
      <c r="AO4" s="185" t="s">
        <v>329</v>
      </c>
      <c r="AP4" s="185" t="s">
        <v>330</v>
      </c>
      <c r="AQ4" s="186" t="s">
        <v>122</v>
      </c>
      <c r="AR4" s="185" t="s">
        <v>331</v>
      </c>
      <c r="AS4" s="185" t="s">
        <v>332</v>
      </c>
      <c r="AT4" s="185" t="s">
        <v>333</v>
      </c>
      <c r="AU4" s="185" t="s">
        <v>334</v>
      </c>
      <c r="AV4" s="185" t="s">
        <v>335</v>
      </c>
      <c r="AW4" s="185" t="s">
        <v>336</v>
      </c>
      <c r="AX4" s="185" t="s">
        <v>337</v>
      </c>
      <c r="AY4" s="185" t="s">
        <v>338</v>
      </c>
      <c r="AZ4" s="185" t="s">
        <v>339</v>
      </c>
      <c r="BA4" s="185" t="s">
        <v>340</v>
      </c>
      <c r="BB4" s="185" t="s">
        <v>341</v>
      </c>
      <c r="BC4" s="185" t="s">
        <v>342</v>
      </c>
      <c r="BD4" s="186" t="s">
        <v>123</v>
      </c>
      <c r="BE4" s="185" t="s">
        <v>343</v>
      </c>
      <c r="BF4" s="185" t="s">
        <v>344</v>
      </c>
      <c r="BG4" s="185" t="s">
        <v>345</v>
      </c>
      <c r="BH4" s="185" t="s">
        <v>346</v>
      </c>
      <c r="BI4" s="185" t="s">
        <v>347</v>
      </c>
      <c r="BJ4" s="185" t="s">
        <v>348</v>
      </c>
      <c r="BK4" s="185" t="s">
        <v>349</v>
      </c>
      <c r="BL4" s="185" t="s">
        <v>350</v>
      </c>
      <c r="BM4" s="185" t="s">
        <v>351</v>
      </c>
      <c r="BN4" s="185" t="s">
        <v>352</v>
      </c>
      <c r="BO4" s="185" t="s">
        <v>353</v>
      </c>
      <c r="BP4" s="185" t="s">
        <v>354</v>
      </c>
      <c r="BQ4" s="186" t="s">
        <v>124</v>
      </c>
      <c r="BR4" s="236" t="s">
        <v>460</v>
      </c>
    </row>
    <row r="5" spans="1:70">
      <c r="A5" s="187"/>
      <c r="B5" s="187" t="s">
        <v>20</v>
      </c>
      <c r="C5" s="187"/>
      <c r="D5" s="187"/>
      <c r="E5" s="188"/>
      <c r="F5" s="188"/>
      <c r="G5" s="188"/>
      <c r="H5" s="189">
        <f>'Card Rev - Leagues'!H5</f>
        <v>0.2</v>
      </c>
      <c r="I5" s="189">
        <f>'Card Rev - Leagues'!I5</f>
        <v>0.3</v>
      </c>
      <c r="J5" s="189">
        <f>'Card Rev - Leagues'!J5</f>
        <v>0.4</v>
      </c>
      <c r="K5" s="189">
        <f>'Card Rev - Leagues'!K5</f>
        <v>0.5</v>
      </c>
      <c r="L5" s="189">
        <f>'Card Rev - Leagues'!L5</f>
        <v>0.6</v>
      </c>
      <c r="M5" s="189">
        <f>'Card Rev - Leagues'!M5</f>
        <v>0.7</v>
      </c>
      <c r="N5" s="189">
        <f>'Card Rev - Leagues'!N5</f>
        <v>0.8</v>
      </c>
      <c r="O5" s="189">
        <f>'Card Rev - Leagues'!O5</f>
        <v>0.9</v>
      </c>
      <c r="P5" s="189">
        <f>'Card Rev - Leagues'!P5</f>
        <v>1</v>
      </c>
      <c r="Q5" s="190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90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90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90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90"/>
      <c r="BR5" s="237"/>
    </row>
    <row r="6" spans="1:70">
      <c r="A6" s="191"/>
      <c r="B6" s="192" t="s">
        <v>70</v>
      </c>
      <c r="C6" s="193"/>
      <c r="D6" s="193"/>
      <c r="E6" s="194">
        <v>0</v>
      </c>
      <c r="F6" s="194">
        <v>0</v>
      </c>
      <c r="G6" s="194">
        <v>0</v>
      </c>
      <c r="H6" s="194" t="e">
        <f t="shared" ref="H6:P6" si="0">(($J$41/12))*H5</f>
        <v>#REF!</v>
      </c>
      <c r="I6" s="194" t="e">
        <f t="shared" si="0"/>
        <v>#REF!</v>
      </c>
      <c r="J6" s="194" t="e">
        <f t="shared" si="0"/>
        <v>#REF!</v>
      </c>
      <c r="K6" s="194" t="e">
        <f t="shared" si="0"/>
        <v>#REF!</v>
      </c>
      <c r="L6" s="194" t="e">
        <f t="shared" si="0"/>
        <v>#REF!</v>
      </c>
      <c r="M6" s="194" t="e">
        <f t="shared" si="0"/>
        <v>#REF!</v>
      </c>
      <c r="N6" s="194" t="e">
        <f t="shared" si="0"/>
        <v>#REF!</v>
      </c>
      <c r="O6" s="194" t="e">
        <f t="shared" si="0"/>
        <v>#REF!</v>
      </c>
      <c r="P6" s="194" t="e">
        <f t="shared" si="0"/>
        <v>#REF!</v>
      </c>
      <c r="Q6" s="195" t="e">
        <f>SUM(E6:P6)</f>
        <v>#REF!</v>
      </c>
      <c r="R6" s="194" t="e">
        <f t="shared" ref="R6:AC6" si="1">(($P$41/12))</f>
        <v>#REF!</v>
      </c>
      <c r="S6" s="194" t="e">
        <f t="shared" si="1"/>
        <v>#REF!</v>
      </c>
      <c r="T6" s="194" t="e">
        <f t="shared" si="1"/>
        <v>#REF!</v>
      </c>
      <c r="U6" s="194" t="e">
        <f t="shared" si="1"/>
        <v>#REF!</v>
      </c>
      <c r="V6" s="194" t="e">
        <f t="shared" si="1"/>
        <v>#REF!</v>
      </c>
      <c r="W6" s="194" t="e">
        <f t="shared" si="1"/>
        <v>#REF!</v>
      </c>
      <c r="X6" s="194" t="e">
        <f t="shared" si="1"/>
        <v>#REF!</v>
      </c>
      <c r="Y6" s="194" t="e">
        <f t="shared" si="1"/>
        <v>#REF!</v>
      </c>
      <c r="Z6" s="194" t="e">
        <f t="shared" si="1"/>
        <v>#REF!</v>
      </c>
      <c r="AA6" s="194" t="e">
        <f t="shared" si="1"/>
        <v>#REF!</v>
      </c>
      <c r="AB6" s="194" t="e">
        <f t="shared" si="1"/>
        <v>#REF!</v>
      </c>
      <c r="AC6" s="194" t="e">
        <f t="shared" si="1"/>
        <v>#REF!</v>
      </c>
      <c r="AD6" s="195" t="e">
        <f>SUM(R6:AC6)</f>
        <v>#REF!</v>
      </c>
      <c r="AE6" s="194" t="e">
        <f t="shared" ref="AE6:AP6" si="2">(($V$41/12))</f>
        <v>#REF!</v>
      </c>
      <c r="AF6" s="194" t="e">
        <f t="shared" si="2"/>
        <v>#REF!</v>
      </c>
      <c r="AG6" s="194" t="e">
        <f t="shared" si="2"/>
        <v>#REF!</v>
      </c>
      <c r="AH6" s="194" t="e">
        <f t="shared" si="2"/>
        <v>#REF!</v>
      </c>
      <c r="AI6" s="194" t="e">
        <f t="shared" si="2"/>
        <v>#REF!</v>
      </c>
      <c r="AJ6" s="194" t="e">
        <f t="shared" si="2"/>
        <v>#REF!</v>
      </c>
      <c r="AK6" s="194" t="e">
        <f t="shared" si="2"/>
        <v>#REF!</v>
      </c>
      <c r="AL6" s="194" t="e">
        <f t="shared" si="2"/>
        <v>#REF!</v>
      </c>
      <c r="AM6" s="194" t="e">
        <f t="shared" si="2"/>
        <v>#REF!</v>
      </c>
      <c r="AN6" s="194" t="e">
        <f t="shared" si="2"/>
        <v>#REF!</v>
      </c>
      <c r="AO6" s="194" t="e">
        <f t="shared" si="2"/>
        <v>#REF!</v>
      </c>
      <c r="AP6" s="194" t="e">
        <f t="shared" si="2"/>
        <v>#REF!</v>
      </c>
      <c r="AQ6" s="195" t="e">
        <f>SUM(AE6:AP6)</f>
        <v>#REF!</v>
      </c>
      <c r="AR6" s="194" t="e">
        <f t="shared" ref="AR6:BC6" si="3">(($AB$41/12))</f>
        <v>#REF!</v>
      </c>
      <c r="AS6" s="194" t="e">
        <f t="shared" si="3"/>
        <v>#REF!</v>
      </c>
      <c r="AT6" s="194" t="e">
        <f t="shared" si="3"/>
        <v>#REF!</v>
      </c>
      <c r="AU6" s="194" t="e">
        <f t="shared" si="3"/>
        <v>#REF!</v>
      </c>
      <c r="AV6" s="194" t="e">
        <f t="shared" si="3"/>
        <v>#REF!</v>
      </c>
      <c r="AW6" s="194" t="e">
        <f t="shared" si="3"/>
        <v>#REF!</v>
      </c>
      <c r="AX6" s="194" t="e">
        <f t="shared" si="3"/>
        <v>#REF!</v>
      </c>
      <c r="AY6" s="194" t="e">
        <f t="shared" si="3"/>
        <v>#REF!</v>
      </c>
      <c r="AZ6" s="194" t="e">
        <f t="shared" si="3"/>
        <v>#REF!</v>
      </c>
      <c r="BA6" s="194" t="e">
        <f t="shared" si="3"/>
        <v>#REF!</v>
      </c>
      <c r="BB6" s="194" t="e">
        <f t="shared" si="3"/>
        <v>#REF!</v>
      </c>
      <c r="BC6" s="194" t="e">
        <f t="shared" si="3"/>
        <v>#REF!</v>
      </c>
      <c r="BD6" s="195" t="e">
        <f>SUM(AR6:BC6)</f>
        <v>#REF!</v>
      </c>
      <c r="BE6" s="194" t="e">
        <f t="shared" ref="BE6:BP6" si="4">(($AH$41/12))</f>
        <v>#REF!</v>
      </c>
      <c r="BF6" s="194" t="e">
        <f t="shared" si="4"/>
        <v>#REF!</v>
      </c>
      <c r="BG6" s="194" t="e">
        <f t="shared" si="4"/>
        <v>#REF!</v>
      </c>
      <c r="BH6" s="194" t="e">
        <f t="shared" si="4"/>
        <v>#REF!</v>
      </c>
      <c r="BI6" s="194" t="e">
        <f t="shared" si="4"/>
        <v>#REF!</v>
      </c>
      <c r="BJ6" s="194" t="e">
        <f t="shared" si="4"/>
        <v>#REF!</v>
      </c>
      <c r="BK6" s="194" t="e">
        <f t="shared" si="4"/>
        <v>#REF!</v>
      </c>
      <c r="BL6" s="194" t="e">
        <f t="shared" si="4"/>
        <v>#REF!</v>
      </c>
      <c r="BM6" s="194" t="e">
        <f t="shared" si="4"/>
        <v>#REF!</v>
      </c>
      <c r="BN6" s="194" t="e">
        <f t="shared" si="4"/>
        <v>#REF!</v>
      </c>
      <c r="BO6" s="194" t="e">
        <f t="shared" si="4"/>
        <v>#REF!</v>
      </c>
      <c r="BP6" s="194" t="e">
        <f t="shared" si="4"/>
        <v>#REF!</v>
      </c>
      <c r="BQ6" s="195" t="e">
        <f>SUM(BE6:BP6)</f>
        <v>#REF!</v>
      </c>
      <c r="BR6" s="238" t="e">
        <f>Q6+AD6+AQ6+BD6+BQ6</f>
        <v>#REF!</v>
      </c>
    </row>
    <row r="7" spans="1:70">
      <c r="A7" s="1"/>
      <c r="B7" s="1"/>
      <c r="C7" s="1"/>
      <c r="D7" s="1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7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239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239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239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239"/>
      <c r="BR7" s="240"/>
    </row>
    <row r="8" spans="1:70">
      <c r="A8" s="187"/>
      <c r="B8" s="187" t="s">
        <v>86</v>
      </c>
      <c r="C8" s="187"/>
      <c r="D8" s="187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8"/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</row>
    <row r="9" spans="1:70">
      <c r="A9" s="199" t="s">
        <v>418</v>
      </c>
      <c r="B9" s="199"/>
      <c r="C9" s="199"/>
      <c r="D9" s="199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1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41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41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41"/>
      <c r="BE9" s="200"/>
      <c r="BF9" s="200"/>
      <c r="BG9" s="200"/>
      <c r="BH9" s="200"/>
      <c r="BI9" s="200"/>
      <c r="BJ9" s="200"/>
      <c r="BK9" s="200"/>
      <c r="BL9" s="200"/>
      <c r="BM9" s="200"/>
      <c r="BN9" s="200"/>
      <c r="BO9" s="200"/>
      <c r="BP9" s="200"/>
      <c r="BQ9" s="241"/>
      <c r="BR9" s="242"/>
    </row>
    <row r="10" spans="1:70">
      <c r="A10" s="202"/>
      <c r="B10" s="203" t="s">
        <v>418</v>
      </c>
      <c r="C10" s="204">
        <f>Assumptions!I24</f>
        <v>0</v>
      </c>
      <c r="D10" s="204"/>
      <c r="E10" s="203">
        <f t="shared" ref="E10:P10" si="5">E6*($C$10)</f>
        <v>0</v>
      </c>
      <c r="F10" s="203">
        <f t="shared" si="5"/>
        <v>0</v>
      </c>
      <c r="G10" s="203">
        <f t="shared" si="5"/>
        <v>0</v>
      </c>
      <c r="H10" s="203" t="e">
        <f t="shared" si="5"/>
        <v>#REF!</v>
      </c>
      <c r="I10" s="203" t="e">
        <f t="shared" si="5"/>
        <v>#REF!</v>
      </c>
      <c r="J10" s="203" t="e">
        <f t="shared" si="5"/>
        <v>#REF!</v>
      </c>
      <c r="K10" s="203" t="e">
        <f t="shared" si="5"/>
        <v>#REF!</v>
      </c>
      <c r="L10" s="203" t="e">
        <f t="shared" si="5"/>
        <v>#REF!</v>
      </c>
      <c r="M10" s="203" t="e">
        <f t="shared" si="5"/>
        <v>#REF!</v>
      </c>
      <c r="N10" s="203" t="e">
        <f t="shared" si="5"/>
        <v>#REF!</v>
      </c>
      <c r="O10" s="203" t="e">
        <f t="shared" si="5"/>
        <v>#REF!</v>
      </c>
      <c r="P10" s="203" t="e">
        <f t="shared" si="5"/>
        <v>#REF!</v>
      </c>
      <c r="Q10" s="205" t="e">
        <f t="shared" ref="Q10:Q11" si="6">SUM(E10:P10)</f>
        <v>#REF!</v>
      </c>
      <c r="R10" s="203" t="e">
        <f t="shared" ref="R10:AP10" si="7">R6*($C$10)</f>
        <v>#REF!</v>
      </c>
      <c r="S10" s="203" t="e">
        <f t="shared" si="7"/>
        <v>#REF!</v>
      </c>
      <c r="T10" s="203" t="e">
        <f t="shared" si="7"/>
        <v>#REF!</v>
      </c>
      <c r="U10" s="203" t="e">
        <f t="shared" si="7"/>
        <v>#REF!</v>
      </c>
      <c r="V10" s="203" t="e">
        <f t="shared" si="7"/>
        <v>#REF!</v>
      </c>
      <c r="W10" s="203" t="e">
        <f t="shared" si="7"/>
        <v>#REF!</v>
      </c>
      <c r="X10" s="203" t="e">
        <f t="shared" si="7"/>
        <v>#REF!</v>
      </c>
      <c r="Y10" s="203" t="e">
        <f t="shared" si="7"/>
        <v>#REF!</v>
      </c>
      <c r="Z10" s="203" t="e">
        <f t="shared" si="7"/>
        <v>#REF!</v>
      </c>
      <c r="AA10" s="203" t="e">
        <f t="shared" si="7"/>
        <v>#REF!</v>
      </c>
      <c r="AB10" s="203" t="e">
        <f t="shared" si="7"/>
        <v>#REF!</v>
      </c>
      <c r="AC10" s="203" t="e">
        <f t="shared" si="7"/>
        <v>#REF!</v>
      </c>
      <c r="AD10" s="205" t="e">
        <f t="shared" si="7"/>
        <v>#REF!</v>
      </c>
      <c r="AE10" s="203" t="e">
        <f t="shared" si="7"/>
        <v>#REF!</v>
      </c>
      <c r="AF10" s="203" t="e">
        <f t="shared" si="7"/>
        <v>#REF!</v>
      </c>
      <c r="AG10" s="203" t="e">
        <f t="shared" si="7"/>
        <v>#REF!</v>
      </c>
      <c r="AH10" s="203" t="e">
        <f t="shared" si="7"/>
        <v>#REF!</v>
      </c>
      <c r="AI10" s="203" t="e">
        <f t="shared" si="7"/>
        <v>#REF!</v>
      </c>
      <c r="AJ10" s="203" t="e">
        <f t="shared" si="7"/>
        <v>#REF!</v>
      </c>
      <c r="AK10" s="203" t="e">
        <f t="shared" si="7"/>
        <v>#REF!</v>
      </c>
      <c r="AL10" s="203" t="e">
        <f t="shared" si="7"/>
        <v>#REF!</v>
      </c>
      <c r="AM10" s="203" t="e">
        <f t="shared" si="7"/>
        <v>#REF!</v>
      </c>
      <c r="AN10" s="203" t="e">
        <f t="shared" si="7"/>
        <v>#REF!</v>
      </c>
      <c r="AO10" s="203" t="e">
        <f t="shared" si="7"/>
        <v>#REF!</v>
      </c>
      <c r="AP10" s="203" t="e">
        <f t="shared" si="7"/>
        <v>#REF!</v>
      </c>
      <c r="AQ10" s="205" t="e">
        <f t="shared" ref="AQ10:AQ11" si="8">SUM(AE10:AP10)</f>
        <v>#REF!</v>
      </c>
      <c r="AR10" s="203" t="e">
        <f t="shared" ref="AR10:BQ10" si="9">AR6*($C$10)</f>
        <v>#REF!</v>
      </c>
      <c r="AS10" s="203" t="e">
        <f t="shared" si="9"/>
        <v>#REF!</v>
      </c>
      <c r="AT10" s="203" t="e">
        <f t="shared" si="9"/>
        <v>#REF!</v>
      </c>
      <c r="AU10" s="203" t="e">
        <f t="shared" si="9"/>
        <v>#REF!</v>
      </c>
      <c r="AV10" s="203" t="e">
        <f t="shared" si="9"/>
        <v>#REF!</v>
      </c>
      <c r="AW10" s="203" t="e">
        <f t="shared" si="9"/>
        <v>#REF!</v>
      </c>
      <c r="AX10" s="203" t="e">
        <f t="shared" si="9"/>
        <v>#REF!</v>
      </c>
      <c r="AY10" s="203" t="e">
        <f t="shared" si="9"/>
        <v>#REF!</v>
      </c>
      <c r="AZ10" s="203" t="e">
        <f t="shared" si="9"/>
        <v>#REF!</v>
      </c>
      <c r="BA10" s="203" t="e">
        <f t="shared" si="9"/>
        <v>#REF!</v>
      </c>
      <c r="BB10" s="203" t="e">
        <f t="shared" si="9"/>
        <v>#REF!</v>
      </c>
      <c r="BC10" s="203" t="e">
        <f t="shared" si="9"/>
        <v>#REF!</v>
      </c>
      <c r="BD10" s="205" t="e">
        <f t="shared" si="9"/>
        <v>#REF!</v>
      </c>
      <c r="BE10" s="203" t="e">
        <f t="shared" si="9"/>
        <v>#REF!</v>
      </c>
      <c r="BF10" s="203" t="e">
        <f t="shared" si="9"/>
        <v>#REF!</v>
      </c>
      <c r="BG10" s="203" t="e">
        <f t="shared" si="9"/>
        <v>#REF!</v>
      </c>
      <c r="BH10" s="203" t="e">
        <f t="shared" si="9"/>
        <v>#REF!</v>
      </c>
      <c r="BI10" s="203" t="e">
        <f t="shared" si="9"/>
        <v>#REF!</v>
      </c>
      <c r="BJ10" s="203" t="e">
        <f t="shared" si="9"/>
        <v>#REF!</v>
      </c>
      <c r="BK10" s="203" t="e">
        <f t="shared" si="9"/>
        <v>#REF!</v>
      </c>
      <c r="BL10" s="203" t="e">
        <f t="shared" si="9"/>
        <v>#REF!</v>
      </c>
      <c r="BM10" s="203" t="e">
        <f t="shared" si="9"/>
        <v>#REF!</v>
      </c>
      <c r="BN10" s="203" t="e">
        <f t="shared" si="9"/>
        <v>#REF!</v>
      </c>
      <c r="BO10" s="203" t="e">
        <f t="shared" si="9"/>
        <v>#REF!</v>
      </c>
      <c r="BP10" s="203" t="e">
        <f t="shared" si="9"/>
        <v>#REF!</v>
      </c>
      <c r="BQ10" s="205" t="e">
        <f t="shared" si="9"/>
        <v>#REF!</v>
      </c>
      <c r="BR10" s="243" t="e">
        <f t="shared" ref="BR10:BR11" si="10">SUM(AQ10+AD10+Q10+BD10+BQ10)</f>
        <v>#REF!</v>
      </c>
    </row>
    <row r="11" spans="1:70">
      <c r="A11" s="176"/>
      <c r="B11" s="203" t="s">
        <v>419</v>
      </c>
      <c r="C11" s="203"/>
      <c r="D11" s="203"/>
      <c r="E11" s="203">
        <f t="shared" ref="E11:P11" si="11">E6*0.025</f>
        <v>0</v>
      </c>
      <c r="F11" s="203">
        <f t="shared" si="11"/>
        <v>0</v>
      </c>
      <c r="G11" s="203">
        <f t="shared" si="11"/>
        <v>0</v>
      </c>
      <c r="H11" s="203" t="e">
        <f t="shared" si="11"/>
        <v>#REF!</v>
      </c>
      <c r="I11" s="203" t="e">
        <f t="shared" si="11"/>
        <v>#REF!</v>
      </c>
      <c r="J11" s="203" t="e">
        <f t="shared" si="11"/>
        <v>#REF!</v>
      </c>
      <c r="K11" s="203" t="e">
        <f t="shared" si="11"/>
        <v>#REF!</v>
      </c>
      <c r="L11" s="203" t="e">
        <f t="shared" si="11"/>
        <v>#REF!</v>
      </c>
      <c r="M11" s="203" t="e">
        <f t="shared" si="11"/>
        <v>#REF!</v>
      </c>
      <c r="N11" s="203" t="e">
        <f t="shared" si="11"/>
        <v>#REF!</v>
      </c>
      <c r="O11" s="203" t="e">
        <f t="shared" si="11"/>
        <v>#REF!</v>
      </c>
      <c r="P11" s="203" t="e">
        <f t="shared" si="11"/>
        <v>#REF!</v>
      </c>
      <c r="Q11" s="205" t="e">
        <f t="shared" si="6"/>
        <v>#REF!</v>
      </c>
      <c r="R11" s="203" t="e">
        <f t="shared" ref="R11:AC11" si="12">R6*0.025</f>
        <v>#REF!</v>
      </c>
      <c r="S11" s="203" t="e">
        <f t="shared" si="12"/>
        <v>#REF!</v>
      </c>
      <c r="T11" s="203" t="e">
        <f t="shared" si="12"/>
        <v>#REF!</v>
      </c>
      <c r="U11" s="203" t="e">
        <f t="shared" si="12"/>
        <v>#REF!</v>
      </c>
      <c r="V11" s="203" t="e">
        <f t="shared" si="12"/>
        <v>#REF!</v>
      </c>
      <c r="W11" s="203" t="e">
        <f t="shared" si="12"/>
        <v>#REF!</v>
      </c>
      <c r="X11" s="203" t="e">
        <f t="shared" si="12"/>
        <v>#REF!</v>
      </c>
      <c r="Y11" s="203" t="e">
        <f t="shared" si="12"/>
        <v>#REF!</v>
      </c>
      <c r="Z11" s="203" t="e">
        <f t="shared" si="12"/>
        <v>#REF!</v>
      </c>
      <c r="AA11" s="203" t="e">
        <f t="shared" si="12"/>
        <v>#REF!</v>
      </c>
      <c r="AB11" s="203" t="e">
        <f t="shared" si="12"/>
        <v>#REF!</v>
      </c>
      <c r="AC11" s="203" t="e">
        <f t="shared" si="12"/>
        <v>#REF!</v>
      </c>
      <c r="AD11" s="205" t="e">
        <f>SUM(R11:AC11)</f>
        <v>#REF!</v>
      </c>
      <c r="AE11" s="203" t="e">
        <f t="shared" ref="AE11:AP11" si="13">AE6*0.025</f>
        <v>#REF!</v>
      </c>
      <c r="AF11" s="203" t="e">
        <f t="shared" si="13"/>
        <v>#REF!</v>
      </c>
      <c r="AG11" s="203" t="e">
        <f t="shared" si="13"/>
        <v>#REF!</v>
      </c>
      <c r="AH11" s="203" t="e">
        <f t="shared" si="13"/>
        <v>#REF!</v>
      </c>
      <c r="AI11" s="203" t="e">
        <f t="shared" si="13"/>
        <v>#REF!</v>
      </c>
      <c r="AJ11" s="203" t="e">
        <f t="shared" si="13"/>
        <v>#REF!</v>
      </c>
      <c r="AK11" s="203" t="e">
        <f t="shared" si="13"/>
        <v>#REF!</v>
      </c>
      <c r="AL11" s="203" t="e">
        <f t="shared" si="13"/>
        <v>#REF!</v>
      </c>
      <c r="AM11" s="203" t="e">
        <f t="shared" si="13"/>
        <v>#REF!</v>
      </c>
      <c r="AN11" s="203" t="e">
        <f t="shared" si="13"/>
        <v>#REF!</v>
      </c>
      <c r="AO11" s="203" t="e">
        <f t="shared" si="13"/>
        <v>#REF!</v>
      </c>
      <c r="AP11" s="203" t="e">
        <f t="shared" si="13"/>
        <v>#REF!</v>
      </c>
      <c r="AQ11" s="205" t="e">
        <f t="shared" si="8"/>
        <v>#REF!</v>
      </c>
      <c r="AR11" s="203" t="e">
        <f t="shared" ref="AR11:BC11" si="14">AR6*0.025</f>
        <v>#REF!</v>
      </c>
      <c r="AS11" s="203" t="e">
        <f t="shared" si="14"/>
        <v>#REF!</v>
      </c>
      <c r="AT11" s="203" t="e">
        <f t="shared" si="14"/>
        <v>#REF!</v>
      </c>
      <c r="AU11" s="203" t="e">
        <f t="shared" si="14"/>
        <v>#REF!</v>
      </c>
      <c r="AV11" s="203" t="e">
        <f t="shared" si="14"/>
        <v>#REF!</v>
      </c>
      <c r="AW11" s="203" t="e">
        <f t="shared" si="14"/>
        <v>#REF!</v>
      </c>
      <c r="AX11" s="203" t="e">
        <f t="shared" si="14"/>
        <v>#REF!</v>
      </c>
      <c r="AY11" s="203" t="e">
        <f t="shared" si="14"/>
        <v>#REF!</v>
      </c>
      <c r="AZ11" s="203" t="e">
        <f t="shared" si="14"/>
        <v>#REF!</v>
      </c>
      <c r="BA11" s="203" t="e">
        <f t="shared" si="14"/>
        <v>#REF!</v>
      </c>
      <c r="BB11" s="203" t="e">
        <f t="shared" si="14"/>
        <v>#REF!</v>
      </c>
      <c r="BC11" s="203" t="e">
        <f t="shared" si="14"/>
        <v>#REF!</v>
      </c>
      <c r="BD11" s="205" t="e">
        <f>SUM(AR11:BC11)</f>
        <v>#REF!</v>
      </c>
      <c r="BE11" s="203" t="e">
        <f t="shared" ref="BE11:BP11" si="15">BE6*0.025</f>
        <v>#REF!</v>
      </c>
      <c r="BF11" s="203" t="e">
        <f t="shared" si="15"/>
        <v>#REF!</v>
      </c>
      <c r="BG11" s="203" t="e">
        <f t="shared" si="15"/>
        <v>#REF!</v>
      </c>
      <c r="BH11" s="203" t="e">
        <f t="shared" si="15"/>
        <v>#REF!</v>
      </c>
      <c r="BI11" s="203" t="e">
        <f t="shared" si="15"/>
        <v>#REF!</v>
      </c>
      <c r="BJ11" s="203" t="e">
        <f t="shared" si="15"/>
        <v>#REF!</v>
      </c>
      <c r="BK11" s="203" t="e">
        <f t="shared" si="15"/>
        <v>#REF!</v>
      </c>
      <c r="BL11" s="203" t="e">
        <f t="shared" si="15"/>
        <v>#REF!</v>
      </c>
      <c r="BM11" s="203" t="e">
        <f t="shared" si="15"/>
        <v>#REF!</v>
      </c>
      <c r="BN11" s="203" t="e">
        <f t="shared" si="15"/>
        <v>#REF!</v>
      </c>
      <c r="BO11" s="203" t="e">
        <f t="shared" si="15"/>
        <v>#REF!</v>
      </c>
      <c r="BP11" s="203" t="e">
        <f t="shared" si="15"/>
        <v>#REF!</v>
      </c>
      <c r="BQ11" s="205" t="e">
        <f>SUM(BE11:BP11)</f>
        <v>#REF!</v>
      </c>
      <c r="BR11" s="243" t="e">
        <f t="shared" si="10"/>
        <v>#REF!</v>
      </c>
    </row>
    <row r="12" spans="1:70">
      <c r="A12" s="206"/>
      <c r="B12" s="207"/>
      <c r="C12" s="162"/>
      <c r="D12" s="162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5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5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5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5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5"/>
      <c r="BR12" s="243"/>
    </row>
    <row r="13" spans="1:70">
      <c r="A13" s="208"/>
      <c r="B13" s="209" t="s">
        <v>420</v>
      </c>
      <c r="C13" s="192"/>
      <c r="D13" s="192"/>
      <c r="E13" s="210">
        <f t="shared" ref="E13:BR13" si="16">SUM(E10:E12)</f>
        <v>0</v>
      </c>
      <c r="F13" s="210">
        <f t="shared" si="16"/>
        <v>0</v>
      </c>
      <c r="G13" s="210">
        <f t="shared" si="16"/>
        <v>0</v>
      </c>
      <c r="H13" s="210" t="e">
        <f t="shared" si="16"/>
        <v>#REF!</v>
      </c>
      <c r="I13" s="210" t="e">
        <f t="shared" si="16"/>
        <v>#REF!</v>
      </c>
      <c r="J13" s="210" t="e">
        <f t="shared" si="16"/>
        <v>#REF!</v>
      </c>
      <c r="K13" s="210" t="e">
        <f t="shared" si="16"/>
        <v>#REF!</v>
      </c>
      <c r="L13" s="210" t="e">
        <f t="shared" si="16"/>
        <v>#REF!</v>
      </c>
      <c r="M13" s="210" t="e">
        <f t="shared" si="16"/>
        <v>#REF!</v>
      </c>
      <c r="N13" s="210" t="e">
        <f t="shared" si="16"/>
        <v>#REF!</v>
      </c>
      <c r="O13" s="210" t="e">
        <f t="shared" si="16"/>
        <v>#REF!</v>
      </c>
      <c r="P13" s="210" t="e">
        <f t="shared" si="16"/>
        <v>#REF!</v>
      </c>
      <c r="Q13" s="211" t="e">
        <f t="shared" si="16"/>
        <v>#REF!</v>
      </c>
      <c r="R13" s="210" t="e">
        <f t="shared" si="16"/>
        <v>#REF!</v>
      </c>
      <c r="S13" s="210" t="e">
        <f t="shared" si="16"/>
        <v>#REF!</v>
      </c>
      <c r="T13" s="210" t="e">
        <f t="shared" si="16"/>
        <v>#REF!</v>
      </c>
      <c r="U13" s="210" t="e">
        <f t="shared" si="16"/>
        <v>#REF!</v>
      </c>
      <c r="V13" s="210" t="e">
        <f t="shared" si="16"/>
        <v>#REF!</v>
      </c>
      <c r="W13" s="210" t="e">
        <f t="shared" si="16"/>
        <v>#REF!</v>
      </c>
      <c r="X13" s="210" t="e">
        <f t="shared" si="16"/>
        <v>#REF!</v>
      </c>
      <c r="Y13" s="210" t="e">
        <f t="shared" si="16"/>
        <v>#REF!</v>
      </c>
      <c r="Z13" s="210" t="e">
        <f t="shared" si="16"/>
        <v>#REF!</v>
      </c>
      <c r="AA13" s="210" t="e">
        <f t="shared" si="16"/>
        <v>#REF!</v>
      </c>
      <c r="AB13" s="210" t="e">
        <f t="shared" si="16"/>
        <v>#REF!</v>
      </c>
      <c r="AC13" s="210" t="e">
        <f t="shared" si="16"/>
        <v>#REF!</v>
      </c>
      <c r="AD13" s="211" t="e">
        <f t="shared" si="16"/>
        <v>#REF!</v>
      </c>
      <c r="AE13" s="210" t="e">
        <f t="shared" si="16"/>
        <v>#REF!</v>
      </c>
      <c r="AF13" s="210" t="e">
        <f t="shared" si="16"/>
        <v>#REF!</v>
      </c>
      <c r="AG13" s="210" t="e">
        <f t="shared" si="16"/>
        <v>#REF!</v>
      </c>
      <c r="AH13" s="210" t="e">
        <f t="shared" si="16"/>
        <v>#REF!</v>
      </c>
      <c r="AI13" s="210" t="e">
        <f t="shared" si="16"/>
        <v>#REF!</v>
      </c>
      <c r="AJ13" s="210" t="e">
        <f t="shared" si="16"/>
        <v>#REF!</v>
      </c>
      <c r="AK13" s="210" t="e">
        <f t="shared" si="16"/>
        <v>#REF!</v>
      </c>
      <c r="AL13" s="210" t="e">
        <f t="shared" si="16"/>
        <v>#REF!</v>
      </c>
      <c r="AM13" s="210" t="e">
        <f t="shared" si="16"/>
        <v>#REF!</v>
      </c>
      <c r="AN13" s="210" t="e">
        <f t="shared" si="16"/>
        <v>#REF!</v>
      </c>
      <c r="AO13" s="210" t="e">
        <f t="shared" si="16"/>
        <v>#REF!</v>
      </c>
      <c r="AP13" s="210" t="e">
        <f t="shared" si="16"/>
        <v>#REF!</v>
      </c>
      <c r="AQ13" s="211" t="e">
        <f t="shared" si="16"/>
        <v>#REF!</v>
      </c>
      <c r="AR13" s="210" t="e">
        <f t="shared" si="16"/>
        <v>#REF!</v>
      </c>
      <c r="AS13" s="210" t="e">
        <f t="shared" si="16"/>
        <v>#REF!</v>
      </c>
      <c r="AT13" s="210" t="e">
        <f t="shared" si="16"/>
        <v>#REF!</v>
      </c>
      <c r="AU13" s="210" t="e">
        <f t="shared" si="16"/>
        <v>#REF!</v>
      </c>
      <c r="AV13" s="210" t="e">
        <f t="shared" si="16"/>
        <v>#REF!</v>
      </c>
      <c r="AW13" s="210" t="e">
        <f t="shared" si="16"/>
        <v>#REF!</v>
      </c>
      <c r="AX13" s="210" t="e">
        <f t="shared" si="16"/>
        <v>#REF!</v>
      </c>
      <c r="AY13" s="210" t="e">
        <f t="shared" si="16"/>
        <v>#REF!</v>
      </c>
      <c r="AZ13" s="210" t="e">
        <f t="shared" si="16"/>
        <v>#REF!</v>
      </c>
      <c r="BA13" s="210" t="e">
        <f t="shared" si="16"/>
        <v>#REF!</v>
      </c>
      <c r="BB13" s="210" t="e">
        <f t="shared" si="16"/>
        <v>#REF!</v>
      </c>
      <c r="BC13" s="210" t="e">
        <f t="shared" si="16"/>
        <v>#REF!</v>
      </c>
      <c r="BD13" s="211" t="e">
        <f t="shared" si="16"/>
        <v>#REF!</v>
      </c>
      <c r="BE13" s="210" t="e">
        <f t="shared" si="16"/>
        <v>#REF!</v>
      </c>
      <c r="BF13" s="210" t="e">
        <f t="shared" si="16"/>
        <v>#REF!</v>
      </c>
      <c r="BG13" s="210" t="e">
        <f t="shared" si="16"/>
        <v>#REF!</v>
      </c>
      <c r="BH13" s="210" t="e">
        <f t="shared" si="16"/>
        <v>#REF!</v>
      </c>
      <c r="BI13" s="210" t="e">
        <f t="shared" si="16"/>
        <v>#REF!</v>
      </c>
      <c r="BJ13" s="210" t="e">
        <f t="shared" si="16"/>
        <v>#REF!</v>
      </c>
      <c r="BK13" s="210" t="e">
        <f t="shared" si="16"/>
        <v>#REF!</v>
      </c>
      <c r="BL13" s="210" t="e">
        <f t="shared" si="16"/>
        <v>#REF!</v>
      </c>
      <c r="BM13" s="210" t="e">
        <f t="shared" si="16"/>
        <v>#REF!</v>
      </c>
      <c r="BN13" s="210" t="e">
        <f t="shared" si="16"/>
        <v>#REF!</v>
      </c>
      <c r="BO13" s="210" t="e">
        <f t="shared" si="16"/>
        <v>#REF!</v>
      </c>
      <c r="BP13" s="210" t="e">
        <f t="shared" si="16"/>
        <v>#REF!</v>
      </c>
      <c r="BQ13" s="211" t="e">
        <f t="shared" si="16"/>
        <v>#REF!</v>
      </c>
      <c r="BR13" s="211" t="e">
        <f t="shared" si="16"/>
        <v>#REF!</v>
      </c>
    </row>
    <row r="14" spans="1:70">
      <c r="A14" s="212" t="s">
        <v>421</v>
      </c>
      <c r="B14" s="192"/>
      <c r="C14" s="192"/>
      <c r="D14" s="192"/>
      <c r="E14" s="213">
        <f t="shared" ref="E14:BR14" si="17">E6-E13</f>
        <v>0</v>
      </c>
      <c r="F14" s="213">
        <f t="shared" si="17"/>
        <v>0</v>
      </c>
      <c r="G14" s="213">
        <f t="shared" si="17"/>
        <v>0</v>
      </c>
      <c r="H14" s="213" t="e">
        <f t="shared" si="17"/>
        <v>#REF!</v>
      </c>
      <c r="I14" s="213" t="e">
        <f t="shared" si="17"/>
        <v>#REF!</v>
      </c>
      <c r="J14" s="213" t="e">
        <f t="shared" si="17"/>
        <v>#REF!</v>
      </c>
      <c r="K14" s="213" t="e">
        <f t="shared" si="17"/>
        <v>#REF!</v>
      </c>
      <c r="L14" s="213" t="e">
        <f t="shared" si="17"/>
        <v>#REF!</v>
      </c>
      <c r="M14" s="213" t="e">
        <f t="shared" si="17"/>
        <v>#REF!</v>
      </c>
      <c r="N14" s="213" t="e">
        <f t="shared" si="17"/>
        <v>#REF!</v>
      </c>
      <c r="O14" s="213" t="e">
        <f t="shared" si="17"/>
        <v>#REF!</v>
      </c>
      <c r="P14" s="213" t="e">
        <f t="shared" si="17"/>
        <v>#REF!</v>
      </c>
      <c r="Q14" s="211" t="e">
        <f t="shared" si="17"/>
        <v>#REF!</v>
      </c>
      <c r="R14" s="213" t="e">
        <f t="shared" si="17"/>
        <v>#REF!</v>
      </c>
      <c r="S14" s="213" t="e">
        <f t="shared" si="17"/>
        <v>#REF!</v>
      </c>
      <c r="T14" s="213" t="e">
        <f t="shared" si="17"/>
        <v>#REF!</v>
      </c>
      <c r="U14" s="213" t="e">
        <f t="shared" si="17"/>
        <v>#REF!</v>
      </c>
      <c r="V14" s="213" t="e">
        <f t="shared" si="17"/>
        <v>#REF!</v>
      </c>
      <c r="W14" s="213" t="e">
        <f t="shared" si="17"/>
        <v>#REF!</v>
      </c>
      <c r="X14" s="213" t="e">
        <f t="shared" si="17"/>
        <v>#REF!</v>
      </c>
      <c r="Y14" s="213" t="e">
        <f t="shared" si="17"/>
        <v>#REF!</v>
      </c>
      <c r="Z14" s="213" t="e">
        <f t="shared" si="17"/>
        <v>#REF!</v>
      </c>
      <c r="AA14" s="213" t="e">
        <f t="shared" si="17"/>
        <v>#REF!</v>
      </c>
      <c r="AB14" s="213" t="e">
        <f t="shared" si="17"/>
        <v>#REF!</v>
      </c>
      <c r="AC14" s="213" t="e">
        <f t="shared" si="17"/>
        <v>#REF!</v>
      </c>
      <c r="AD14" s="211" t="e">
        <f t="shared" si="17"/>
        <v>#REF!</v>
      </c>
      <c r="AE14" s="213" t="e">
        <f t="shared" si="17"/>
        <v>#REF!</v>
      </c>
      <c r="AF14" s="213" t="e">
        <f t="shared" si="17"/>
        <v>#REF!</v>
      </c>
      <c r="AG14" s="213" t="e">
        <f t="shared" si="17"/>
        <v>#REF!</v>
      </c>
      <c r="AH14" s="213" t="e">
        <f t="shared" si="17"/>
        <v>#REF!</v>
      </c>
      <c r="AI14" s="213" t="e">
        <f t="shared" si="17"/>
        <v>#REF!</v>
      </c>
      <c r="AJ14" s="213" t="e">
        <f t="shared" si="17"/>
        <v>#REF!</v>
      </c>
      <c r="AK14" s="213" t="e">
        <f t="shared" si="17"/>
        <v>#REF!</v>
      </c>
      <c r="AL14" s="213" t="e">
        <f t="shared" si="17"/>
        <v>#REF!</v>
      </c>
      <c r="AM14" s="213" t="e">
        <f t="shared" si="17"/>
        <v>#REF!</v>
      </c>
      <c r="AN14" s="213" t="e">
        <f t="shared" si="17"/>
        <v>#REF!</v>
      </c>
      <c r="AO14" s="213" t="e">
        <f t="shared" si="17"/>
        <v>#REF!</v>
      </c>
      <c r="AP14" s="213" t="e">
        <f t="shared" si="17"/>
        <v>#REF!</v>
      </c>
      <c r="AQ14" s="211" t="e">
        <f t="shared" si="17"/>
        <v>#REF!</v>
      </c>
      <c r="AR14" s="213" t="e">
        <f t="shared" si="17"/>
        <v>#REF!</v>
      </c>
      <c r="AS14" s="213" t="e">
        <f t="shared" si="17"/>
        <v>#REF!</v>
      </c>
      <c r="AT14" s="213" t="e">
        <f t="shared" si="17"/>
        <v>#REF!</v>
      </c>
      <c r="AU14" s="213" t="e">
        <f t="shared" si="17"/>
        <v>#REF!</v>
      </c>
      <c r="AV14" s="213" t="e">
        <f t="shared" si="17"/>
        <v>#REF!</v>
      </c>
      <c r="AW14" s="213" t="e">
        <f t="shared" si="17"/>
        <v>#REF!</v>
      </c>
      <c r="AX14" s="213" t="e">
        <f t="shared" si="17"/>
        <v>#REF!</v>
      </c>
      <c r="AY14" s="213" t="e">
        <f t="shared" si="17"/>
        <v>#REF!</v>
      </c>
      <c r="AZ14" s="213" t="e">
        <f t="shared" si="17"/>
        <v>#REF!</v>
      </c>
      <c r="BA14" s="213" t="e">
        <f t="shared" si="17"/>
        <v>#REF!</v>
      </c>
      <c r="BB14" s="213" t="e">
        <f t="shared" si="17"/>
        <v>#REF!</v>
      </c>
      <c r="BC14" s="213" t="e">
        <f t="shared" si="17"/>
        <v>#REF!</v>
      </c>
      <c r="BD14" s="211" t="e">
        <f t="shared" si="17"/>
        <v>#REF!</v>
      </c>
      <c r="BE14" s="213" t="e">
        <f t="shared" si="17"/>
        <v>#REF!</v>
      </c>
      <c r="BF14" s="213" t="e">
        <f t="shared" si="17"/>
        <v>#REF!</v>
      </c>
      <c r="BG14" s="213" t="e">
        <f t="shared" si="17"/>
        <v>#REF!</v>
      </c>
      <c r="BH14" s="213" t="e">
        <f t="shared" si="17"/>
        <v>#REF!</v>
      </c>
      <c r="BI14" s="213" t="e">
        <f t="shared" si="17"/>
        <v>#REF!</v>
      </c>
      <c r="BJ14" s="213" t="e">
        <f t="shared" si="17"/>
        <v>#REF!</v>
      </c>
      <c r="BK14" s="213" t="e">
        <f t="shared" si="17"/>
        <v>#REF!</v>
      </c>
      <c r="BL14" s="213" t="e">
        <f t="shared" si="17"/>
        <v>#REF!</v>
      </c>
      <c r="BM14" s="213" t="e">
        <f t="shared" si="17"/>
        <v>#REF!</v>
      </c>
      <c r="BN14" s="213" t="e">
        <f t="shared" si="17"/>
        <v>#REF!</v>
      </c>
      <c r="BO14" s="213" t="e">
        <f t="shared" si="17"/>
        <v>#REF!</v>
      </c>
      <c r="BP14" s="213" t="e">
        <f t="shared" si="17"/>
        <v>#REF!</v>
      </c>
      <c r="BQ14" s="211" t="e">
        <f t="shared" si="17"/>
        <v>#REF!</v>
      </c>
      <c r="BR14" s="211" t="e">
        <f t="shared" si="17"/>
        <v>#REF!</v>
      </c>
    </row>
    <row r="15" spans="1:70">
      <c r="A15" s="214"/>
      <c r="B15" s="193"/>
      <c r="C15" s="193"/>
      <c r="D15" s="193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6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6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6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6"/>
      <c r="BE15" s="215"/>
      <c r="BF15" s="215"/>
      <c r="BG15" s="215"/>
      <c r="BH15" s="215"/>
      <c r="BI15" s="215"/>
      <c r="BJ15" s="215"/>
      <c r="BK15" s="215"/>
      <c r="BL15" s="215"/>
      <c r="BM15" s="215"/>
      <c r="BN15" s="215"/>
      <c r="BO15" s="215"/>
      <c r="BP15" s="215"/>
      <c r="BQ15" s="216"/>
      <c r="BR15" s="216"/>
    </row>
    <row r="16" spans="1:70">
      <c r="A16" s="187"/>
      <c r="B16" s="187" t="s">
        <v>422</v>
      </c>
      <c r="C16" s="187"/>
      <c r="D16" s="187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8"/>
      <c r="BG16" s="198"/>
      <c r="BH16" s="198"/>
      <c r="BI16" s="198"/>
      <c r="BJ16" s="198"/>
      <c r="BK16" s="198"/>
      <c r="BL16" s="198"/>
      <c r="BM16" s="198"/>
      <c r="BN16" s="198"/>
      <c r="BO16" s="198"/>
      <c r="BP16" s="198"/>
      <c r="BQ16" s="198"/>
      <c r="BR16" s="198"/>
    </row>
    <row r="17" spans="1:70">
      <c r="A17" s="217" t="s">
        <v>461</v>
      </c>
      <c r="B17" s="218"/>
      <c r="C17" s="219">
        <f>Assumptions!I26</f>
        <v>0</v>
      </c>
      <c r="D17" s="219"/>
      <c r="E17" s="217">
        <f t="shared" ref="E17:BR17" si="18">ROUND(E$14*$C17,0)</f>
        <v>0</v>
      </c>
      <c r="F17" s="217">
        <f t="shared" si="18"/>
        <v>0</v>
      </c>
      <c r="G17" s="217">
        <f t="shared" si="18"/>
        <v>0</v>
      </c>
      <c r="H17" s="217" t="e">
        <f t="shared" si="18"/>
        <v>#REF!</v>
      </c>
      <c r="I17" s="217" t="e">
        <f t="shared" si="18"/>
        <v>#REF!</v>
      </c>
      <c r="J17" s="217" t="e">
        <f t="shared" si="18"/>
        <v>#REF!</v>
      </c>
      <c r="K17" s="217" t="e">
        <f t="shared" si="18"/>
        <v>#REF!</v>
      </c>
      <c r="L17" s="217" t="e">
        <f t="shared" si="18"/>
        <v>#REF!</v>
      </c>
      <c r="M17" s="217" t="e">
        <f t="shared" si="18"/>
        <v>#REF!</v>
      </c>
      <c r="N17" s="217" t="e">
        <f t="shared" si="18"/>
        <v>#REF!</v>
      </c>
      <c r="O17" s="217" t="e">
        <f t="shared" si="18"/>
        <v>#REF!</v>
      </c>
      <c r="P17" s="217" t="e">
        <f t="shared" si="18"/>
        <v>#REF!</v>
      </c>
      <c r="Q17" s="220" t="e">
        <f t="shared" si="18"/>
        <v>#REF!</v>
      </c>
      <c r="R17" s="217" t="e">
        <f t="shared" si="18"/>
        <v>#REF!</v>
      </c>
      <c r="S17" s="217" t="e">
        <f t="shared" si="18"/>
        <v>#REF!</v>
      </c>
      <c r="T17" s="217" t="e">
        <f t="shared" si="18"/>
        <v>#REF!</v>
      </c>
      <c r="U17" s="217" t="e">
        <f t="shared" si="18"/>
        <v>#REF!</v>
      </c>
      <c r="V17" s="217" t="e">
        <f t="shared" si="18"/>
        <v>#REF!</v>
      </c>
      <c r="W17" s="217" t="e">
        <f t="shared" si="18"/>
        <v>#REF!</v>
      </c>
      <c r="X17" s="217" t="e">
        <f t="shared" si="18"/>
        <v>#REF!</v>
      </c>
      <c r="Y17" s="217" t="e">
        <f t="shared" si="18"/>
        <v>#REF!</v>
      </c>
      <c r="Z17" s="217" t="e">
        <f t="shared" si="18"/>
        <v>#REF!</v>
      </c>
      <c r="AA17" s="217" t="e">
        <f t="shared" si="18"/>
        <v>#REF!</v>
      </c>
      <c r="AB17" s="217" t="e">
        <f t="shared" si="18"/>
        <v>#REF!</v>
      </c>
      <c r="AC17" s="217" t="e">
        <f t="shared" si="18"/>
        <v>#REF!</v>
      </c>
      <c r="AD17" s="220" t="e">
        <f t="shared" si="18"/>
        <v>#REF!</v>
      </c>
      <c r="AE17" s="217" t="e">
        <f t="shared" si="18"/>
        <v>#REF!</v>
      </c>
      <c r="AF17" s="217" t="e">
        <f t="shared" si="18"/>
        <v>#REF!</v>
      </c>
      <c r="AG17" s="217" t="e">
        <f t="shared" si="18"/>
        <v>#REF!</v>
      </c>
      <c r="AH17" s="217" t="e">
        <f t="shared" si="18"/>
        <v>#REF!</v>
      </c>
      <c r="AI17" s="217" t="e">
        <f t="shared" si="18"/>
        <v>#REF!</v>
      </c>
      <c r="AJ17" s="217" t="e">
        <f t="shared" si="18"/>
        <v>#REF!</v>
      </c>
      <c r="AK17" s="217" t="e">
        <f t="shared" si="18"/>
        <v>#REF!</v>
      </c>
      <c r="AL17" s="217" t="e">
        <f t="shared" si="18"/>
        <v>#REF!</v>
      </c>
      <c r="AM17" s="217" t="e">
        <f t="shared" si="18"/>
        <v>#REF!</v>
      </c>
      <c r="AN17" s="217" t="e">
        <f t="shared" si="18"/>
        <v>#REF!</v>
      </c>
      <c r="AO17" s="217" t="e">
        <f t="shared" si="18"/>
        <v>#REF!</v>
      </c>
      <c r="AP17" s="217" t="e">
        <f t="shared" si="18"/>
        <v>#REF!</v>
      </c>
      <c r="AQ17" s="220" t="e">
        <f t="shared" si="18"/>
        <v>#REF!</v>
      </c>
      <c r="AR17" s="217" t="e">
        <f t="shared" si="18"/>
        <v>#REF!</v>
      </c>
      <c r="AS17" s="217" t="e">
        <f t="shared" si="18"/>
        <v>#REF!</v>
      </c>
      <c r="AT17" s="217" t="e">
        <f t="shared" si="18"/>
        <v>#REF!</v>
      </c>
      <c r="AU17" s="217" t="e">
        <f t="shared" si="18"/>
        <v>#REF!</v>
      </c>
      <c r="AV17" s="217" t="e">
        <f t="shared" si="18"/>
        <v>#REF!</v>
      </c>
      <c r="AW17" s="217" t="e">
        <f t="shared" si="18"/>
        <v>#REF!</v>
      </c>
      <c r="AX17" s="217" t="e">
        <f t="shared" si="18"/>
        <v>#REF!</v>
      </c>
      <c r="AY17" s="217" t="e">
        <f t="shared" si="18"/>
        <v>#REF!</v>
      </c>
      <c r="AZ17" s="217" t="e">
        <f t="shared" si="18"/>
        <v>#REF!</v>
      </c>
      <c r="BA17" s="217" t="e">
        <f t="shared" si="18"/>
        <v>#REF!</v>
      </c>
      <c r="BB17" s="217" t="e">
        <f t="shared" si="18"/>
        <v>#REF!</v>
      </c>
      <c r="BC17" s="217" t="e">
        <f t="shared" si="18"/>
        <v>#REF!</v>
      </c>
      <c r="BD17" s="220" t="e">
        <f t="shared" si="18"/>
        <v>#REF!</v>
      </c>
      <c r="BE17" s="217" t="e">
        <f t="shared" si="18"/>
        <v>#REF!</v>
      </c>
      <c r="BF17" s="217" t="e">
        <f t="shared" si="18"/>
        <v>#REF!</v>
      </c>
      <c r="BG17" s="217" t="e">
        <f t="shared" si="18"/>
        <v>#REF!</v>
      </c>
      <c r="BH17" s="217" t="e">
        <f t="shared" si="18"/>
        <v>#REF!</v>
      </c>
      <c r="BI17" s="217" t="e">
        <f t="shared" si="18"/>
        <v>#REF!</v>
      </c>
      <c r="BJ17" s="217" t="e">
        <f t="shared" si="18"/>
        <v>#REF!</v>
      </c>
      <c r="BK17" s="217" t="e">
        <f t="shared" si="18"/>
        <v>#REF!</v>
      </c>
      <c r="BL17" s="217" t="e">
        <f t="shared" si="18"/>
        <v>#REF!</v>
      </c>
      <c r="BM17" s="217" t="e">
        <f t="shared" si="18"/>
        <v>#REF!</v>
      </c>
      <c r="BN17" s="217" t="e">
        <f t="shared" si="18"/>
        <v>#REF!</v>
      </c>
      <c r="BO17" s="217" t="e">
        <f t="shared" si="18"/>
        <v>#REF!</v>
      </c>
      <c r="BP17" s="217" t="e">
        <f t="shared" si="18"/>
        <v>#REF!</v>
      </c>
      <c r="BQ17" s="220" t="e">
        <f t="shared" si="18"/>
        <v>#REF!</v>
      </c>
      <c r="BR17" s="220" t="e">
        <f t="shared" si="18"/>
        <v>#REF!</v>
      </c>
    </row>
    <row r="18" spans="1:70">
      <c r="A18" s="221" t="s">
        <v>423</v>
      </c>
      <c r="B18" s="222"/>
      <c r="C18" s="223" t="str">
        <f>Assumptions!I27</f>
        <v>Margin</v>
      </c>
      <c r="D18" s="223"/>
      <c r="E18" s="221" t="e">
        <f t="shared" ref="E18:BR18" si="19">ROUND(E$14*$C18,0)</f>
        <v>#VALUE!</v>
      </c>
      <c r="F18" s="221" t="e">
        <f t="shared" si="19"/>
        <v>#VALUE!</v>
      </c>
      <c r="G18" s="221" t="e">
        <f t="shared" si="19"/>
        <v>#VALUE!</v>
      </c>
      <c r="H18" s="221" t="e">
        <f t="shared" si="19"/>
        <v>#REF!</v>
      </c>
      <c r="I18" s="221" t="e">
        <f t="shared" si="19"/>
        <v>#REF!</v>
      </c>
      <c r="J18" s="221" t="e">
        <f t="shared" si="19"/>
        <v>#REF!</v>
      </c>
      <c r="K18" s="221" t="e">
        <f t="shared" si="19"/>
        <v>#REF!</v>
      </c>
      <c r="L18" s="221" t="e">
        <f t="shared" si="19"/>
        <v>#REF!</v>
      </c>
      <c r="M18" s="221" t="e">
        <f t="shared" si="19"/>
        <v>#REF!</v>
      </c>
      <c r="N18" s="221" t="e">
        <f t="shared" si="19"/>
        <v>#REF!</v>
      </c>
      <c r="O18" s="221" t="e">
        <f t="shared" si="19"/>
        <v>#REF!</v>
      </c>
      <c r="P18" s="221" t="e">
        <f t="shared" si="19"/>
        <v>#REF!</v>
      </c>
      <c r="Q18" s="224" t="e">
        <f t="shared" si="19"/>
        <v>#REF!</v>
      </c>
      <c r="R18" s="221" t="e">
        <f t="shared" si="19"/>
        <v>#REF!</v>
      </c>
      <c r="S18" s="221" t="e">
        <f t="shared" si="19"/>
        <v>#REF!</v>
      </c>
      <c r="T18" s="221" t="e">
        <f t="shared" si="19"/>
        <v>#REF!</v>
      </c>
      <c r="U18" s="221" t="e">
        <f t="shared" si="19"/>
        <v>#REF!</v>
      </c>
      <c r="V18" s="221" t="e">
        <f t="shared" si="19"/>
        <v>#REF!</v>
      </c>
      <c r="W18" s="221" t="e">
        <f t="shared" si="19"/>
        <v>#REF!</v>
      </c>
      <c r="X18" s="221" t="e">
        <f t="shared" si="19"/>
        <v>#REF!</v>
      </c>
      <c r="Y18" s="221" t="e">
        <f t="shared" si="19"/>
        <v>#REF!</v>
      </c>
      <c r="Z18" s="221" t="e">
        <f t="shared" si="19"/>
        <v>#REF!</v>
      </c>
      <c r="AA18" s="221" t="e">
        <f t="shared" si="19"/>
        <v>#REF!</v>
      </c>
      <c r="AB18" s="221" t="e">
        <f t="shared" si="19"/>
        <v>#REF!</v>
      </c>
      <c r="AC18" s="221" t="e">
        <f t="shared" si="19"/>
        <v>#REF!</v>
      </c>
      <c r="AD18" s="224" t="e">
        <f t="shared" si="19"/>
        <v>#REF!</v>
      </c>
      <c r="AE18" s="221" t="e">
        <f t="shared" si="19"/>
        <v>#REF!</v>
      </c>
      <c r="AF18" s="221" t="e">
        <f t="shared" si="19"/>
        <v>#REF!</v>
      </c>
      <c r="AG18" s="221" t="e">
        <f t="shared" si="19"/>
        <v>#REF!</v>
      </c>
      <c r="AH18" s="221" t="e">
        <f t="shared" si="19"/>
        <v>#REF!</v>
      </c>
      <c r="AI18" s="221" t="e">
        <f t="shared" si="19"/>
        <v>#REF!</v>
      </c>
      <c r="AJ18" s="221" t="e">
        <f t="shared" si="19"/>
        <v>#REF!</v>
      </c>
      <c r="AK18" s="221" t="e">
        <f t="shared" si="19"/>
        <v>#REF!</v>
      </c>
      <c r="AL18" s="221" t="e">
        <f t="shared" si="19"/>
        <v>#REF!</v>
      </c>
      <c r="AM18" s="221" t="e">
        <f t="shared" si="19"/>
        <v>#REF!</v>
      </c>
      <c r="AN18" s="221" t="e">
        <f t="shared" si="19"/>
        <v>#REF!</v>
      </c>
      <c r="AO18" s="221" t="e">
        <f t="shared" si="19"/>
        <v>#REF!</v>
      </c>
      <c r="AP18" s="221" t="e">
        <f t="shared" si="19"/>
        <v>#REF!</v>
      </c>
      <c r="AQ18" s="224" t="e">
        <f t="shared" si="19"/>
        <v>#REF!</v>
      </c>
      <c r="AR18" s="221" t="e">
        <f t="shared" si="19"/>
        <v>#REF!</v>
      </c>
      <c r="AS18" s="221" t="e">
        <f t="shared" si="19"/>
        <v>#REF!</v>
      </c>
      <c r="AT18" s="221" t="e">
        <f t="shared" si="19"/>
        <v>#REF!</v>
      </c>
      <c r="AU18" s="221" t="e">
        <f t="shared" si="19"/>
        <v>#REF!</v>
      </c>
      <c r="AV18" s="221" t="e">
        <f t="shared" si="19"/>
        <v>#REF!</v>
      </c>
      <c r="AW18" s="221" t="e">
        <f t="shared" si="19"/>
        <v>#REF!</v>
      </c>
      <c r="AX18" s="221" t="e">
        <f t="shared" si="19"/>
        <v>#REF!</v>
      </c>
      <c r="AY18" s="221" t="e">
        <f t="shared" si="19"/>
        <v>#REF!</v>
      </c>
      <c r="AZ18" s="221" t="e">
        <f t="shared" si="19"/>
        <v>#REF!</v>
      </c>
      <c r="BA18" s="221" t="e">
        <f t="shared" si="19"/>
        <v>#REF!</v>
      </c>
      <c r="BB18" s="221" t="e">
        <f t="shared" si="19"/>
        <v>#REF!</v>
      </c>
      <c r="BC18" s="221" t="e">
        <f t="shared" si="19"/>
        <v>#REF!</v>
      </c>
      <c r="BD18" s="224" t="e">
        <f t="shared" si="19"/>
        <v>#REF!</v>
      </c>
      <c r="BE18" s="221" t="e">
        <f t="shared" si="19"/>
        <v>#REF!</v>
      </c>
      <c r="BF18" s="221" t="e">
        <f t="shared" si="19"/>
        <v>#REF!</v>
      </c>
      <c r="BG18" s="221" t="e">
        <f t="shared" si="19"/>
        <v>#REF!</v>
      </c>
      <c r="BH18" s="221" t="e">
        <f t="shared" si="19"/>
        <v>#REF!</v>
      </c>
      <c r="BI18" s="221" t="e">
        <f t="shared" si="19"/>
        <v>#REF!</v>
      </c>
      <c r="BJ18" s="221" t="e">
        <f t="shared" si="19"/>
        <v>#REF!</v>
      </c>
      <c r="BK18" s="221" t="e">
        <f t="shared" si="19"/>
        <v>#REF!</v>
      </c>
      <c r="BL18" s="221" t="e">
        <f t="shared" si="19"/>
        <v>#REF!</v>
      </c>
      <c r="BM18" s="221" t="e">
        <f t="shared" si="19"/>
        <v>#REF!</v>
      </c>
      <c r="BN18" s="221" t="e">
        <f t="shared" si="19"/>
        <v>#REF!</v>
      </c>
      <c r="BO18" s="221" t="e">
        <f t="shared" si="19"/>
        <v>#REF!</v>
      </c>
      <c r="BP18" s="221" t="e">
        <f t="shared" si="19"/>
        <v>#REF!</v>
      </c>
      <c r="BQ18" s="224" t="e">
        <f t="shared" si="19"/>
        <v>#REF!</v>
      </c>
      <c r="BR18" s="224" t="e">
        <f t="shared" si="19"/>
        <v>#REF!</v>
      </c>
    </row>
    <row r="19" spans="1:70">
      <c r="A19" s="225" t="s">
        <v>424</v>
      </c>
      <c r="B19" s="226"/>
      <c r="C19" s="227">
        <f>Assumptions!I28</f>
        <v>15925000</v>
      </c>
      <c r="D19" s="227"/>
      <c r="E19" s="225">
        <f t="shared" ref="E19:BR19" si="20">ROUND(E$14*$C19,0)</f>
        <v>0</v>
      </c>
      <c r="F19" s="225">
        <f t="shared" si="20"/>
        <v>0</v>
      </c>
      <c r="G19" s="225">
        <f t="shared" si="20"/>
        <v>0</v>
      </c>
      <c r="H19" s="225" t="e">
        <f t="shared" si="20"/>
        <v>#REF!</v>
      </c>
      <c r="I19" s="225" t="e">
        <f t="shared" si="20"/>
        <v>#REF!</v>
      </c>
      <c r="J19" s="225" t="e">
        <f t="shared" si="20"/>
        <v>#REF!</v>
      </c>
      <c r="K19" s="225" t="e">
        <f t="shared" si="20"/>
        <v>#REF!</v>
      </c>
      <c r="L19" s="225" t="e">
        <f t="shared" si="20"/>
        <v>#REF!</v>
      </c>
      <c r="M19" s="225" t="e">
        <f t="shared" si="20"/>
        <v>#REF!</v>
      </c>
      <c r="N19" s="225" t="e">
        <f t="shared" si="20"/>
        <v>#REF!</v>
      </c>
      <c r="O19" s="225" t="e">
        <f t="shared" si="20"/>
        <v>#REF!</v>
      </c>
      <c r="P19" s="225" t="e">
        <f t="shared" si="20"/>
        <v>#REF!</v>
      </c>
      <c r="Q19" s="228" t="e">
        <f t="shared" si="20"/>
        <v>#REF!</v>
      </c>
      <c r="R19" s="225" t="e">
        <f t="shared" si="20"/>
        <v>#REF!</v>
      </c>
      <c r="S19" s="225" t="e">
        <f t="shared" si="20"/>
        <v>#REF!</v>
      </c>
      <c r="T19" s="225" t="e">
        <f t="shared" si="20"/>
        <v>#REF!</v>
      </c>
      <c r="U19" s="225" t="e">
        <f t="shared" si="20"/>
        <v>#REF!</v>
      </c>
      <c r="V19" s="225" t="e">
        <f t="shared" si="20"/>
        <v>#REF!</v>
      </c>
      <c r="W19" s="225" t="e">
        <f t="shared" si="20"/>
        <v>#REF!</v>
      </c>
      <c r="X19" s="225" t="e">
        <f t="shared" si="20"/>
        <v>#REF!</v>
      </c>
      <c r="Y19" s="225" t="e">
        <f t="shared" si="20"/>
        <v>#REF!</v>
      </c>
      <c r="Z19" s="225" t="e">
        <f t="shared" si="20"/>
        <v>#REF!</v>
      </c>
      <c r="AA19" s="225" t="e">
        <f t="shared" si="20"/>
        <v>#REF!</v>
      </c>
      <c r="AB19" s="225" t="e">
        <f t="shared" si="20"/>
        <v>#REF!</v>
      </c>
      <c r="AC19" s="225" t="e">
        <f t="shared" si="20"/>
        <v>#REF!</v>
      </c>
      <c r="AD19" s="228" t="e">
        <f t="shared" si="20"/>
        <v>#REF!</v>
      </c>
      <c r="AE19" s="225" t="e">
        <f t="shared" si="20"/>
        <v>#REF!</v>
      </c>
      <c r="AF19" s="225" t="e">
        <f t="shared" si="20"/>
        <v>#REF!</v>
      </c>
      <c r="AG19" s="225" t="e">
        <f t="shared" si="20"/>
        <v>#REF!</v>
      </c>
      <c r="AH19" s="225" t="e">
        <f t="shared" si="20"/>
        <v>#REF!</v>
      </c>
      <c r="AI19" s="225" t="e">
        <f t="shared" si="20"/>
        <v>#REF!</v>
      </c>
      <c r="AJ19" s="225" t="e">
        <f t="shared" si="20"/>
        <v>#REF!</v>
      </c>
      <c r="AK19" s="225" t="e">
        <f t="shared" si="20"/>
        <v>#REF!</v>
      </c>
      <c r="AL19" s="225" t="e">
        <f t="shared" si="20"/>
        <v>#REF!</v>
      </c>
      <c r="AM19" s="225" t="e">
        <f t="shared" si="20"/>
        <v>#REF!</v>
      </c>
      <c r="AN19" s="225" t="e">
        <f t="shared" si="20"/>
        <v>#REF!</v>
      </c>
      <c r="AO19" s="225" t="e">
        <f t="shared" si="20"/>
        <v>#REF!</v>
      </c>
      <c r="AP19" s="225" t="e">
        <f t="shared" si="20"/>
        <v>#REF!</v>
      </c>
      <c r="AQ19" s="228" t="e">
        <f t="shared" si="20"/>
        <v>#REF!</v>
      </c>
      <c r="AR19" s="225" t="e">
        <f t="shared" si="20"/>
        <v>#REF!</v>
      </c>
      <c r="AS19" s="225" t="e">
        <f t="shared" si="20"/>
        <v>#REF!</v>
      </c>
      <c r="AT19" s="225" t="e">
        <f t="shared" si="20"/>
        <v>#REF!</v>
      </c>
      <c r="AU19" s="225" t="e">
        <f t="shared" si="20"/>
        <v>#REF!</v>
      </c>
      <c r="AV19" s="225" t="e">
        <f t="shared" si="20"/>
        <v>#REF!</v>
      </c>
      <c r="AW19" s="225" t="e">
        <f t="shared" si="20"/>
        <v>#REF!</v>
      </c>
      <c r="AX19" s="225" t="e">
        <f t="shared" si="20"/>
        <v>#REF!</v>
      </c>
      <c r="AY19" s="225" t="e">
        <f t="shared" si="20"/>
        <v>#REF!</v>
      </c>
      <c r="AZ19" s="225" t="e">
        <f t="shared" si="20"/>
        <v>#REF!</v>
      </c>
      <c r="BA19" s="225" t="e">
        <f t="shared" si="20"/>
        <v>#REF!</v>
      </c>
      <c r="BB19" s="225" t="e">
        <f t="shared" si="20"/>
        <v>#REF!</v>
      </c>
      <c r="BC19" s="225" t="e">
        <f t="shared" si="20"/>
        <v>#REF!</v>
      </c>
      <c r="BD19" s="228" t="e">
        <f t="shared" si="20"/>
        <v>#REF!</v>
      </c>
      <c r="BE19" s="225" t="e">
        <f t="shared" si="20"/>
        <v>#REF!</v>
      </c>
      <c r="BF19" s="225" t="e">
        <f t="shared" si="20"/>
        <v>#REF!</v>
      </c>
      <c r="BG19" s="225" t="e">
        <f t="shared" si="20"/>
        <v>#REF!</v>
      </c>
      <c r="BH19" s="225" t="e">
        <f t="shared" si="20"/>
        <v>#REF!</v>
      </c>
      <c r="BI19" s="225" t="e">
        <f t="shared" si="20"/>
        <v>#REF!</v>
      </c>
      <c r="BJ19" s="225" t="e">
        <f t="shared" si="20"/>
        <v>#REF!</v>
      </c>
      <c r="BK19" s="225" t="e">
        <f t="shared" si="20"/>
        <v>#REF!</v>
      </c>
      <c r="BL19" s="225" t="e">
        <f t="shared" si="20"/>
        <v>#REF!</v>
      </c>
      <c r="BM19" s="225" t="e">
        <f t="shared" si="20"/>
        <v>#REF!</v>
      </c>
      <c r="BN19" s="225" t="e">
        <f t="shared" si="20"/>
        <v>#REF!</v>
      </c>
      <c r="BO19" s="225" t="e">
        <f t="shared" si="20"/>
        <v>#REF!</v>
      </c>
      <c r="BP19" s="225" t="e">
        <f t="shared" si="20"/>
        <v>#REF!</v>
      </c>
      <c r="BQ19" s="228" t="e">
        <f t="shared" si="20"/>
        <v>#REF!</v>
      </c>
      <c r="BR19" s="228" t="e">
        <f t="shared" si="20"/>
        <v>#REF!</v>
      </c>
    </row>
    <row r="20" spans="1:70">
      <c r="A20" s="229" t="s">
        <v>131</v>
      </c>
      <c r="B20" s="230"/>
      <c r="C20" s="231">
        <f>Assumptions!I29</f>
        <v>4550000</v>
      </c>
      <c r="D20" s="231"/>
      <c r="E20" s="229">
        <f t="shared" ref="E20:BR20" si="21">ROUND(E$14*$C20,0)</f>
        <v>0</v>
      </c>
      <c r="F20" s="229">
        <f t="shared" si="21"/>
        <v>0</v>
      </c>
      <c r="G20" s="229">
        <f t="shared" si="21"/>
        <v>0</v>
      </c>
      <c r="H20" s="229" t="e">
        <f t="shared" si="21"/>
        <v>#REF!</v>
      </c>
      <c r="I20" s="229" t="e">
        <f t="shared" si="21"/>
        <v>#REF!</v>
      </c>
      <c r="J20" s="229" t="e">
        <f t="shared" si="21"/>
        <v>#REF!</v>
      </c>
      <c r="K20" s="229" t="e">
        <f t="shared" si="21"/>
        <v>#REF!</v>
      </c>
      <c r="L20" s="229" t="e">
        <f t="shared" si="21"/>
        <v>#REF!</v>
      </c>
      <c r="M20" s="229" t="e">
        <f t="shared" si="21"/>
        <v>#REF!</v>
      </c>
      <c r="N20" s="229" t="e">
        <f t="shared" si="21"/>
        <v>#REF!</v>
      </c>
      <c r="O20" s="229" t="e">
        <f t="shared" si="21"/>
        <v>#REF!</v>
      </c>
      <c r="P20" s="229" t="e">
        <f t="shared" si="21"/>
        <v>#REF!</v>
      </c>
      <c r="Q20" s="232" t="e">
        <f t="shared" si="21"/>
        <v>#REF!</v>
      </c>
      <c r="R20" s="229" t="e">
        <f t="shared" si="21"/>
        <v>#REF!</v>
      </c>
      <c r="S20" s="229" t="e">
        <f t="shared" si="21"/>
        <v>#REF!</v>
      </c>
      <c r="T20" s="229" t="e">
        <f t="shared" si="21"/>
        <v>#REF!</v>
      </c>
      <c r="U20" s="229" t="e">
        <f t="shared" si="21"/>
        <v>#REF!</v>
      </c>
      <c r="V20" s="229" t="e">
        <f t="shared" si="21"/>
        <v>#REF!</v>
      </c>
      <c r="W20" s="229" t="e">
        <f t="shared" si="21"/>
        <v>#REF!</v>
      </c>
      <c r="X20" s="229" t="e">
        <f t="shared" si="21"/>
        <v>#REF!</v>
      </c>
      <c r="Y20" s="229" t="e">
        <f t="shared" si="21"/>
        <v>#REF!</v>
      </c>
      <c r="Z20" s="229" t="e">
        <f t="shared" si="21"/>
        <v>#REF!</v>
      </c>
      <c r="AA20" s="229" t="e">
        <f t="shared" si="21"/>
        <v>#REF!</v>
      </c>
      <c r="AB20" s="229" t="e">
        <f t="shared" si="21"/>
        <v>#REF!</v>
      </c>
      <c r="AC20" s="229" t="e">
        <f t="shared" si="21"/>
        <v>#REF!</v>
      </c>
      <c r="AD20" s="232" t="e">
        <f t="shared" si="21"/>
        <v>#REF!</v>
      </c>
      <c r="AE20" s="229" t="e">
        <f t="shared" si="21"/>
        <v>#REF!</v>
      </c>
      <c r="AF20" s="229" t="e">
        <f t="shared" si="21"/>
        <v>#REF!</v>
      </c>
      <c r="AG20" s="229" t="e">
        <f t="shared" si="21"/>
        <v>#REF!</v>
      </c>
      <c r="AH20" s="229" t="e">
        <f t="shared" si="21"/>
        <v>#REF!</v>
      </c>
      <c r="AI20" s="229" t="e">
        <f t="shared" si="21"/>
        <v>#REF!</v>
      </c>
      <c r="AJ20" s="229" t="e">
        <f t="shared" si="21"/>
        <v>#REF!</v>
      </c>
      <c r="AK20" s="229" t="e">
        <f t="shared" si="21"/>
        <v>#REF!</v>
      </c>
      <c r="AL20" s="229" t="e">
        <f t="shared" si="21"/>
        <v>#REF!</v>
      </c>
      <c r="AM20" s="229" t="e">
        <f t="shared" si="21"/>
        <v>#REF!</v>
      </c>
      <c r="AN20" s="229" t="e">
        <f t="shared" si="21"/>
        <v>#REF!</v>
      </c>
      <c r="AO20" s="229" t="e">
        <f t="shared" si="21"/>
        <v>#REF!</v>
      </c>
      <c r="AP20" s="229" t="e">
        <f t="shared" si="21"/>
        <v>#REF!</v>
      </c>
      <c r="AQ20" s="232" t="e">
        <f t="shared" si="21"/>
        <v>#REF!</v>
      </c>
      <c r="AR20" s="229" t="e">
        <f t="shared" si="21"/>
        <v>#REF!</v>
      </c>
      <c r="AS20" s="229" t="e">
        <f t="shared" si="21"/>
        <v>#REF!</v>
      </c>
      <c r="AT20" s="229" t="e">
        <f t="shared" si="21"/>
        <v>#REF!</v>
      </c>
      <c r="AU20" s="229" t="e">
        <f t="shared" si="21"/>
        <v>#REF!</v>
      </c>
      <c r="AV20" s="229" t="e">
        <f t="shared" si="21"/>
        <v>#REF!</v>
      </c>
      <c r="AW20" s="229" t="e">
        <f t="shared" si="21"/>
        <v>#REF!</v>
      </c>
      <c r="AX20" s="229" t="e">
        <f t="shared" si="21"/>
        <v>#REF!</v>
      </c>
      <c r="AY20" s="229" t="e">
        <f t="shared" si="21"/>
        <v>#REF!</v>
      </c>
      <c r="AZ20" s="229" t="e">
        <f t="shared" si="21"/>
        <v>#REF!</v>
      </c>
      <c r="BA20" s="229" t="e">
        <f t="shared" si="21"/>
        <v>#REF!</v>
      </c>
      <c r="BB20" s="229" t="e">
        <f t="shared" si="21"/>
        <v>#REF!</v>
      </c>
      <c r="BC20" s="229" t="e">
        <f t="shared" si="21"/>
        <v>#REF!</v>
      </c>
      <c r="BD20" s="232" t="e">
        <f t="shared" si="21"/>
        <v>#REF!</v>
      </c>
      <c r="BE20" s="229" t="e">
        <f t="shared" si="21"/>
        <v>#REF!</v>
      </c>
      <c r="BF20" s="229" t="e">
        <f t="shared" si="21"/>
        <v>#REF!</v>
      </c>
      <c r="BG20" s="229" t="e">
        <f t="shared" si="21"/>
        <v>#REF!</v>
      </c>
      <c r="BH20" s="229" t="e">
        <f t="shared" si="21"/>
        <v>#REF!</v>
      </c>
      <c r="BI20" s="229" t="e">
        <f t="shared" si="21"/>
        <v>#REF!</v>
      </c>
      <c r="BJ20" s="229" t="e">
        <f t="shared" si="21"/>
        <v>#REF!</v>
      </c>
      <c r="BK20" s="229" t="e">
        <f t="shared" si="21"/>
        <v>#REF!</v>
      </c>
      <c r="BL20" s="229" t="e">
        <f t="shared" si="21"/>
        <v>#REF!</v>
      </c>
      <c r="BM20" s="229" t="e">
        <f t="shared" si="21"/>
        <v>#REF!</v>
      </c>
      <c r="BN20" s="229" t="e">
        <f t="shared" si="21"/>
        <v>#REF!</v>
      </c>
      <c r="BO20" s="229" t="e">
        <f t="shared" si="21"/>
        <v>#REF!</v>
      </c>
      <c r="BP20" s="229" t="e">
        <f t="shared" si="21"/>
        <v>#REF!</v>
      </c>
      <c r="BQ20" s="232" t="e">
        <f t="shared" si="21"/>
        <v>#REF!</v>
      </c>
      <c r="BR20" s="232" t="e">
        <f t="shared" si="21"/>
        <v>#REF!</v>
      </c>
    </row>
    <row r="21" spans="1:70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62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</row>
    <row r="22" spans="1:70" ht="15.75" customHeight="1"/>
    <row r="23" spans="1:70" ht="15.75" customHeight="1"/>
    <row r="24" spans="1:70" ht="15.75" customHeight="1">
      <c r="E24" s="1212" t="s">
        <v>462</v>
      </c>
      <c r="F24" s="1127"/>
      <c r="G24" s="1127"/>
      <c r="H24" s="1127"/>
      <c r="I24" s="1128"/>
      <c r="K24" s="1212" t="s">
        <v>463</v>
      </c>
      <c r="L24" s="1127"/>
      <c r="M24" s="1127"/>
      <c r="N24" s="1127"/>
      <c r="O24" s="1128"/>
      <c r="Q24" s="1212" t="s">
        <v>464</v>
      </c>
      <c r="R24" s="1127"/>
      <c r="S24" s="1127"/>
      <c r="T24" s="1127"/>
      <c r="U24" s="1128"/>
      <c r="W24" s="1212" t="s">
        <v>465</v>
      </c>
      <c r="X24" s="1127"/>
      <c r="Y24" s="1127"/>
      <c r="Z24" s="1127"/>
      <c r="AA24" s="1128"/>
      <c r="AC24" s="1212" t="s">
        <v>465</v>
      </c>
      <c r="AD24" s="1127"/>
      <c r="AE24" s="1127"/>
      <c r="AF24" s="1127"/>
      <c r="AG24" s="1128"/>
    </row>
    <row r="25" spans="1:70" ht="15.75" customHeight="1">
      <c r="A25" s="244"/>
      <c r="B25" s="244"/>
      <c r="C25" s="245"/>
      <c r="D25" s="245"/>
      <c r="E25" s="246" t="s">
        <v>466</v>
      </c>
      <c r="F25" s="246" t="s">
        <v>467</v>
      </c>
      <c r="G25" s="246" t="s">
        <v>468</v>
      </c>
      <c r="H25" s="246" t="s">
        <v>469</v>
      </c>
      <c r="I25" s="246" t="s">
        <v>470</v>
      </c>
      <c r="J25" s="245"/>
      <c r="K25" s="246" t="s">
        <v>466</v>
      </c>
      <c r="L25" s="246" t="s">
        <v>467</v>
      </c>
      <c r="M25" s="246" t="s">
        <v>468</v>
      </c>
      <c r="N25" s="246" t="s">
        <v>469</v>
      </c>
      <c r="O25" s="246" t="s">
        <v>470</v>
      </c>
      <c r="P25" s="245"/>
      <c r="Q25" s="246" t="s">
        <v>466</v>
      </c>
      <c r="R25" s="246" t="s">
        <v>467</v>
      </c>
      <c r="S25" s="246" t="s">
        <v>468</v>
      </c>
      <c r="T25" s="246" t="s">
        <v>469</v>
      </c>
      <c r="U25" s="246" t="s">
        <v>470</v>
      </c>
      <c r="V25" s="245"/>
      <c r="W25" s="246" t="s">
        <v>466</v>
      </c>
      <c r="X25" s="246" t="s">
        <v>467</v>
      </c>
      <c r="Y25" s="246" t="s">
        <v>468</v>
      </c>
      <c r="Z25" s="246" t="s">
        <v>469</v>
      </c>
      <c r="AA25" s="246" t="s">
        <v>470</v>
      </c>
      <c r="AB25" s="245"/>
      <c r="AC25" s="246" t="s">
        <v>466</v>
      </c>
      <c r="AD25" s="246" t="s">
        <v>467</v>
      </c>
      <c r="AE25" s="246" t="s">
        <v>468</v>
      </c>
      <c r="AF25" s="246" t="s">
        <v>469</v>
      </c>
      <c r="AG25" s="246" t="s">
        <v>470</v>
      </c>
      <c r="AH25" s="245"/>
      <c r="AI25" s="245"/>
      <c r="AJ25" s="245"/>
      <c r="AK25" s="245"/>
      <c r="AL25" s="245"/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245"/>
      <c r="BF25" s="245"/>
      <c r="BG25" s="245"/>
      <c r="BH25" s="245"/>
      <c r="BI25" s="245"/>
      <c r="BJ25" s="245"/>
      <c r="BK25" s="245"/>
      <c r="BL25" s="245"/>
      <c r="BM25" s="245"/>
      <c r="BN25" s="245"/>
      <c r="BO25" s="245"/>
      <c r="BP25" s="245"/>
      <c r="BQ25" s="245"/>
      <c r="BR25" s="245"/>
    </row>
    <row r="26" spans="1:70" ht="15.75" customHeight="1">
      <c r="A26" s="13" t="s">
        <v>471</v>
      </c>
      <c r="B26" s="179"/>
      <c r="C26" s="14"/>
      <c r="D26" s="14"/>
      <c r="E26" s="247">
        <f>Assumptions!O11</f>
        <v>0</v>
      </c>
      <c r="F26" s="247">
        <f>Assumptions!P11</f>
        <v>0</v>
      </c>
      <c r="G26" s="247">
        <f>Assumptions!Q11</f>
        <v>0</v>
      </c>
      <c r="H26" s="247" t="e">
        <f t="shared" ref="H26:I26" si="22">#REF!</f>
        <v>#REF!</v>
      </c>
      <c r="I26" s="247" t="e">
        <f t="shared" si="22"/>
        <v>#REF!</v>
      </c>
      <c r="K26" s="247">
        <f t="shared" ref="K26:O26" si="23">E26*2</f>
        <v>0</v>
      </c>
      <c r="L26" s="247">
        <f t="shared" si="23"/>
        <v>0</v>
      </c>
      <c r="M26" s="247">
        <f t="shared" si="23"/>
        <v>0</v>
      </c>
      <c r="N26" s="247" t="e">
        <f t="shared" si="23"/>
        <v>#REF!</v>
      </c>
      <c r="O26" s="247" t="e">
        <f t="shared" si="23"/>
        <v>#REF!</v>
      </c>
      <c r="Q26" s="247">
        <f t="shared" ref="Q26:U26" si="24">E26*3</f>
        <v>0</v>
      </c>
      <c r="R26" s="247">
        <f t="shared" si="24"/>
        <v>0</v>
      </c>
      <c r="S26" s="247">
        <f t="shared" si="24"/>
        <v>0</v>
      </c>
      <c r="T26" s="247" t="e">
        <f t="shared" si="24"/>
        <v>#REF!</v>
      </c>
      <c r="U26" s="247" t="e">
        <f t="shared" si="24"/>
        <v>#REF!</v>
      </c>
      <c r="W26" s="247">
        <f t="shared" ref="W26:AA26" si="25">E26*4</f>
        <v>0</v>
      </c>
      <c r="X26" s="247">
        <f t="shared" si="25"/>
        <v>0</v>
      </c>
      <c r="Y26" s="247">
        <f t="shared" si="25"/>
        <v>0</v>
      </c>
      <c r="Z26" s="247" t="e">
        <f t="shared" si="25"/>
        <v>#REF!</v>
      </c>
      <c r="AA26" s="247" t="e">
        <f t="shared" si="25"/>
        <v>#REF!</v>
      </c>
      <c r="AC26" s="247">
        <f t="shared" ref="AC26:AG26" si="26">E26*5</f>
        <v>0</v>
      </c>
      <c r="AD26" s="247">
        <f t="shared" si="26"/>
        <v>0</v>
      </c>
      <c r="AE26" s="247">
        <f t="shared" si="26"/>
        <v>0</v>
      </c>
      <c r="AF26" s="247" t="e">
        <f t="shared" si="26"/>
        <v>#REF!</v>
      </c>
      <c r="AG26" s="247" t="e">
        <f t="shared" si="26"/>
        <v>#REF!</v>
      </c>
    </row>
    <row r="27" spans="1:70" ht="15.75" customHeight="1">
      <c r="A27" s="13" t="s">
        <v>472</v>
      </c>
      <c r="B27" s="179"/>
      <c r="C27" s="14"/>
      <c r="D27" s="14"/>
      <c r="E27" s="247">
        <f>Assumptions!O12</f>
        <v>0</v>
      </c>
      <c r="F27" s="247">
        <f>Assumptions!P12</f>
        <v>0</v>
      </c>
      <c r="G27" s="247">
        <f>Assumptions!Q12</f>
        <v>0</v>
      </c>
      <c r="H27" s="247" t="e">
        <f t="shared" ref="H27:I27" si="27">#REF!</f>
        <v>#REF!</v>
      </c>
      <c r="I27" s="247" t="e">
        <f t="shared" si="27"/>
        <v>#REF!</v>
      </c>
      <c r="K27" s="247">
        <f t="shared" ref="K27:O27" si="28">E27*2</f>
        <v>0</v>
      </c>
      <c r="L27" s="247">
        <f t="shared" si="28"/>
        <v>0</v>
      </c>
      <c r="M27" s="247">
        <f t="shared" si="28"/>
        <v>0</v>
      </c>
      <c r="N27" s="247" t="e">
        <f t="shared" si="28"/>
        <v>#REF!</v>
      </c>
      <c r="O27" s="247" t="e">
        <f t="shared" si="28"/>
        <v>#REF!</v>
      </c>
      <c r="Q27" s="247">
        <f t="shared" ref="Q27:U27" si="29">E27*3</f>
        <v>0</v>
      </c>
      <c r="R27" s="247">
        <f t="shared" si="29"/>
        <v>0</v>
      </c>
      <c r="S27" s="247">
        <f t="shared" si="29"/>
        <v>0</v>
      </c>
      <c r="T27" s="247" t="e">
        <f t="shared" si="29"/>
        <v>#REF!</v>
      </c>
      <c r="U27" s="247" t="e">
        <f t="shared" si="29"/>
        <v>#REF!</v>
      </c>
      <c r="W27" s="247">
        <f t="shared" ref="W27:AA27" si="30">E27*4</f>
        <v>0</v>
      </c>
      <c r="X27" s="247">
        <f t="shared" si="30"/>
        <v>0</v>
      </c>
      <c r="Y27" s="247">
        <f t="shared" si="30"/>
        <v>0</v>
      </c>
      <c r="Z27" s="247" t="e">
        <f t="shared" si="30"/>
        <v>#REF!</v>
      </c>
      <c r="AA27" s="247" t="e">
        <f t="shared" si="30"/>
        <v>#REF!</v>
      </c>
      <c r="AC27" s="247">
        <f t="shared" ref="AC27:AG27" si="31">E27*5</f>
        <v>0</v>
      </c>
      <c r="AD27" s="247">
        <f t="shared" si="31"/>
        <v>0</v>
      </c>
      <c r="AE27" s="247">
        <f t="shared" si="31"/>
        <v>0</v>
      </c>
      <c r="AF27" s="247" t="e">
        <f t="shared" si="31"/>
        <v>#REF!</v>
      </c>
      <c r="AG27" s="247" t="e">
        <f t="shared" si="31"/>
        <v>#REF!</v>
      </c>
    </row>
    <row r="28" spans="1:70" ht="15.75" customHeight="1">
      <c r="A28" s="13" t="s">
        <v>473</v>
      </c>
      <c r="B28" s="179"/>
      <c r="C28" s="14"/>
      <c r="D28" s="14"/>
      <c r="E28" s="247">
        <f>Assumptions!O13</f>
        <v>0</v>
      </c>
      <c r="F28" s="247">
        <f>Assumptions!P13</f>
        <v>0</v>
      </c>
      <c r="G28" s="247">
        <f>Assumptions!Q13</f>
        <v>0</v>
      </c>
      <c r="H28" s="247" t="e">
        <f t="shared" ref="H28:I28" si="32">#REF!</f>
        <v>#REF!</v>
      </c>
      <c r="I28" s="247" t="e">
        <f t="shared" si="32"/>
        <v>#REF!</v>
      </c>
      <c r="K28" s="247">
        <f t="shared" ref="K28:O28" si="33">E28*2</f>
        <v>0</v>
      </c>
      <c r="L28" s="247">
        <f t="shared" si="33"/>
        <v>0</v>
      </c>
      <c r="M28" s="247">
        <f t="shared" si="33"/>
        <v>0</v>
      </c>
      <c r="N28" s="247" t="e">
        <f t="shared" si="33"/>
        <v>#REF!</v>
      </c>
      <c r="O28" s="247" t="e">
        <f t="shared" si="33"/>
        <v>#REF!</v>
      </c>
      <c r="Q28" s="247">
        <f t="shared" ref="Q28:U28" si="34">E28*3</f>
        <v>0</v>
      </c>
      <c r="R28" s="247">
        <f t="shared" si="34"/>
        <v>0</v>
      </c>
      <c r="S28" s="247">
        <f t="shared" si="34"/>
        <v>0</v>
      </c>
      <c r="T28" s="247" t="e">
        <f t="shared" si="34"/>
        <v>#REF!</v>
      </c>
      <c r="U28" s="247" t="e">
        <f t="shared" si="34"/>
        <v>#REF!</v>
      </c>
      <c r="W28" s="247">
        <f t="shared" ref="W28:AA28" si="35">E28*4</f>
        <v>0</v>
      </c>
      <c r="X28" s="247">
        <f t="shared" si="35"/>
        <v>0</v>
      </c>
      <c r="Y28" s="247">
        <f t="shared" si="35"/>
        <v>0</v>
      </c>
      <c r="Z28" s="247" t="e">
        <f t="shared" si="35"/>
        <v>#REF!</v>
      </c>
      <c r="AA28" s="247" t="e">
        <f t="shared" si="35"/>
        <v>#REF!</v>
      </c>
      <c r="AC28" s="247">
        <f t="shared" ref="AC28:AG28" si="36">E28*5</f>
        <v>0</v>
      </c>
      <c r="AD28" s="247">
        <f t="shared" si="36"/>
        <v>0</v>
      </c>
      <c r="AE28" s="247">
        <f t="shared" si="36"/>
        <v>0</v>
      </c>
      <c r="AF28" s="247" t="e">
        <f t="shared" si="36"/>
        <v>#REF!</v>
      </c>
      <c r="AG28" s="247" t="e">
        <f t="shared" si="36"/>
        <v>#REF!</v>
      </c>
    </row>
    <row r="29" spans="1:70" ht="15.75" customHeight="1">
      <c r="A29" s="13" t="s">
        <v>474</v>
      </c>
      <c r="B29" s="179"/>
      <c r="C29" s="14"/>
      <c r="D29" s="14"/>
      <c r="E29" s="247">
        <f>Assumptions!O14</f>
        <v>0</v>
      </c>
      <c r="F29" s="247">
        <f>Assumptions!P14</f>
        <v>0</v>
      </c>
      <c r="G29" s="247">
        <f>Assumptions!Q14</f>
        <v>0</v>
      </c>
      <c r="H29" s="247" t="e">
        <f t="shared" ref="H29:I29" si="37">#REF!</f>
        <v>#REF!</v>
      </c>
      <c r="I29" s="247" t="e">
        <f t="shared" si="37"/>
        <v>#REF!</v>
      </c>
      <c r="K29" s="247">
        <f t="shared" ref="K29:O29" si="38">E29*2</f>
        <v>0</v>
      </c>
      <c r="L29" s="247">
        <f t="shared" si="38"/>
        <v>0</v>
      </c>
      <c r="M29" s="247">
        <f t="shared" si="38"/>
        <v>0</v>
      </c>
      <c r="N29" s="247" t="e">
        <f t="shared" si="38"/>
        <v>#REF!</v>
      </c>
      <c r="O29" s="247" t="e">
        <f t="shared" si="38"/>
        <v>#REF!</v>
      </c>
      <c r="Q29" s="247">
        <f t="shared" ref="Q29:U29" si="39">E29*3</f>
        <v>0</v>
      </c>
      <c r="R29" s="247">
        <f t="shared" si="39"/>
        <v>0</v>
      </c>
      <c r="S29" s="247">
        <f t="shared" si="39"/>
        <v>0</v>
      </c>
      <c r="T29" s="247" t="e">
        <f t="shared" si="39"/>
        <v>#REF!</v>
      </c>
      <c r="U29" s="247" t="e">
        <f t="shared" si="39"/>
        <v>#REF!</v>
      </c>
      <c r="W29" s="247">
        <f t="shared" ref="W29:AA29" si="40">E29*4</f>
        <v>0</v>
      </c>
      <c r="X29" s="247">
        <f t="shared" si="40"/>
        <v>0</v>
      </c>
      <c r="Y29" s="247">
        <f t="shared" si="40"/>
        <v>0</v>
      </c>
      <c r="Z29" s="247" t="e">
        <f t="shared" si="40"/>
        <v>#REF!</v>
      </c>
      <c r="AA29" s="247" t="e">
        <f t="shared" si="40"/>
        <v>#REF!</v>
      </c>
      <c r="AC29" s="247">
        <f t="shared" ref="AC29:AG29" si="41">E29*5</f>
        <v>0</v>
      </c>
      <c r="AD29" s="247">
        <f t="shared" si="41"/>
        <v>0</v>
      </c>
      <c r="AE29" s="247">
        <f t="shared" si="41"/>
        <v>0</v>
      </c>
      <c r="AF29" s="247" t="e">
        <f t="shared" si="41"/>
        <v>#REF!</v>
      </c>
      <c r="AG29" s="247" t="e">
        <f t="shared" si="41"/>
        <v>#REF!</v>
      </c>
    </row>
    <row r="30" spans="1:70" ht="15.75" customHeight="1">
      <c r="A30" s="248" t="e">
        <f t="shared" ref="A30:A34" si="42">#REF!</f>
        <v>#REF!</v>
      </c>
      <c r="B30" s="179"/>
      <c r="C30" s="14"/>
      <c r="D30" s="14"/>
      <c r="E30" s="247" t="e">
        <f t="shared" ref="E30:I30" si="43">#REF!</f>
        <v>#REF!</v>
      </c>
      <c r="F30" s="247" t="e">
        <f t="shared" si="43"/>
        <v>#REF!</v>
      </c>
      <c r="G30" s="247" t="e">
        <f t="shared" si="43"/>
        <v>#REF!</v>
      </c>
      <c r="H30" s="247" t="e">
        <f t="shared" si="43"/>
        <v>#REF!</v>
      </c>
      <c r="I30" s="247" t="e">
        <f t="shared" si="43"/>
        <v>#REF!</v>
      </c>
      <c r="K30" s="247" t="e">
        <f t="shared" ref="K30:O30" si="44">#REF!</f>
        <v>#REF!</v>
      </c>
      <c r="L30" s="247" t="e">
        <f t="shared" si="44"/>
        <v>#REF!</v>
      </c>
      <c r="M30" s="247" t="e">
        <f t="shared" si="44"/>
        <v>#REF!</v>
      </c>
      <c r="N30" s="247" t="e">
        <f t="shared" si="44"/>
        <v>#REF!</v>
      </c>
      <c r="O30" s="247" t="e">
        <f t="shared" si="44"/>
        <v>#REF!</v>
      </c>
      <c r="Q30" s="247" t="e">
        <f t="shared" ref="Q30:U30" si="45">E30*3</f>
        <v>#REF!</v>
      </c>
      <c r="R30" s="247" t="e">
        <f t="shared" si="45"/>
        <v>#REF!</v>
      </c>
      <c r="S30" s="247" t="e">
        <f t="shared" si="45"/>
        <v>#REF!</v>
      </c>
      <c r="T30" s="247" t="e">
        <f t="shared" si="45"/>
        <v>#REF!</v>
      </c>
      <c r="U30" s="247" t="e">
        <f t="shared" si="45"/>
        <v>#REF!</v>
      </c>
      <c r="W30" s="247" t="e">
        <f t="shared" ref="W30:AA30" si="46">E30*4</f>
        <v>#REF!</v>
      </c>
      <c r="X30" s="247" t="e">
        <f t="shared" si="46"/>
        <v>#REF!</v>
      </c>
      <c r="Y30" s="247" t="e">
        <f t="shared" si="46"/>
        <v>#REF!</v>
      </c>
      <c r="Z30" s="247" t="e">
        <f t="shared" si="46"/>
        <v>#REF!</v>
      </c>
      <c r="AA30" s="247" t="e">
        <f t="shared" si="46"/>
        <v>#REF!</v>
      </c>
      <c r="AC30" s="247" t="e">
        <f t="shared" ref="AC30:AG30" si="47">E30*5</f>
        <v>#REF!</v>
      </c>
      <c r="AD30" s="247" t="e">
        <f t="shared" si="47"/>
        <v>#REF!</v>
      </c>
      <c r="AE30" s="247" t="e">
        <f t="shared" si="47"/>
        <v>#REF!</v>
      </c>
      <c r="AF30" s="247" t="e">
        <f t="shared" si="47"/>
        <v>#REF!</v>
      </c>
      <c r="AG30" s="247" t="e">
        <f t="shared" si="47"/>
        <v>#REF!</v>
      </c>
    </row>
    <row r="31" spans="1:70" ht="15.75" customHeight="1">
      <c r="A31" s="248" t="e">
        <f t="shared" si="42"/>
        <v>#REF!</v>
      </c>
      <c r="B31" s="179"/>
      <c r="C31" s="14"/>
      <c r="D31" s="14"/>
      <c r="E31" s="247" t="e">
        <f t="shared" ref="E31:I31" si="48">#REF!</f>
        <v>#REF!</v>
      </c>
      <c r="F31" s="247" t="e">
        <f t="shared" si="48"/>
        <v>#REF!</v>
      </c>
      <c r="G31" s="247" t="e">
        <f t="shared" si="48"/>
        <v>#REF!</v>
      </c>
      <c r="H31" s="247" t="e">
        <f t="shared" si="48"/>
        <v>#REF!</v>
      </c>
      <c r="I31" s="247" t="e">
        <f t="shared" si="48"/>
        <v>#REF!</v>
      </c>
      <c r="K31" s="247" t="e">
        <f t="shared" ref="K31:O31" si="49">#REF!</f>
        <v>#REF!</v>
      </c>
      <c r="L31" s="247" t="e">
        <f t="shared" si="49"/>
        <v>#REF!</v>
      </c>
      <c r="M31" s="247" t="e">
        <f t="shared" si="49"/>
        <v>#REF!</v>
      </c>
      <c r="N31" s="247" t="e">
        <f t="shared" si="49"/>
        <v>#REF!</v>
      </c>
      <c r="O31" s="247" t="e">
        <f t="shared" si="49"/>
        <v>#REF!</v>
      </c>
      <c r="Q31" s="247" t="e">
        <f t="shared" ref="Q31:U31" si="50">E31*3</f>
        <v>#REF!</v>
      </c>
      <c r="R31" s="247" t="e">
        <f t="shared" si="50"/>
        <v>#REF!</v>
      </c>
      <c r="S31" s="247" t="e">
        <f t="shared" si="50"/>
        <v>#REF!</v>
      </c>
      <c r="T31" s="247" t="e">
        <f t="shared" si="50"/>
        <v>#REF!</v>
      </c>
      <c r="U31" s="247" t="e">
        <f t="shared" si="50"/>
        <v>#REF!</v>
      </c>
      <c r="W31" s="247" t="e">
        <f t="shared" ref="W31:AA31" si="51">E31*4</f>
        <v>#REF!</v>
      </c>
      <c r="X31" s="247" t="e">
        <f t="shared" si="51"/>
        <v>#REF!</v>
      </c>
      <c r="Y31" s="247" t="e">
        <f t="shared" si="51"/>
        <v>#REF!</v>
      </c>
      <c r="Z31" s="247" t="e">
        <f t="shared" si="51"/>
        <v>#REF!</v>
      </c>
      <c r="AA31" s="247" t="e">
        <f t="shared" si="51"/>
        <v>#REF!</v>
      </c>
      <c r="AC31" s="247" t="e">
        <f t="shared" ref="AC31:AG31" si="52">E31*5</f>
        <v>#REF!</v>
      </c>
      <c r="AD31" s="247" t="e">
        <f t="shared" si="52"/>
        <v>#REF!</v>
      </c>
      <c r="AE31" s="247" t="e">
        <f t="shared" si="52"/>
        <v>#REF!</v>
      </c>
      <c r="AF31" s="247" t="e">
        <f t="shared" si="52"/>
        <v>#REF!</v>
      </c>
      <c r="AG31" s="247" t="e">
        <f t="shared" si="52"/>
        <v>#REF!</v>
      </c>
    </row>
    <row r="32" spans="1:70" ht="15.75" customHeight="1">
      <c r="A32" s="248" t="e">
        <f t="shared" si="42"/>
        <v>#REF!</v>
      </c>
      <c r="B32" s="179"/>
      <c r="C32" s="14"/>
      <c r="D32" s="14"/>
      <c r="E32" s="247" t="e">
        <f t="shared" ref="E32:I32" si="53">#REF!</f>
        <v>#REF!</v>
      </c>
      <c r="F32" s="247" t="e">
        <f t="shared" si="53"/>
        <v>#REF!</v>
      </c>
      <c r="G32" s="247" t="e">
        <f t="shared" si="53"/>
        <v>#REF!</v>
      </c>
      <c r="H32" s="247" t="e">
        <f t="shared" si="53"/>
        <v>#REF!</v>
      </c>
      <c r="I32" s="247" t="e">
        <f t="shared" si="53"/>
        <v>#REF!</v>
      </c>
      <c r="K32" s="247" t="e">
        <f t="shared" ref="K32:O32" si="54">#REF!</f>
        <v>#REF!</v>
      </c>
      <c r="L32" s="247" t="e">
        <f t="shared" si="54"/>
        <v>#REF!</v>
      </c>
      <c r="M32" s="247" t="e">
        <f t="shared" si="54"/>
        <v>#REF!</v>
      </c>
      <c r="N32" s="247" t="e">
        <f t="shared" si="54"/>
        <v>#REF!</v>
      </c>
      <c r="O32" s="247" t="e">
        <f t="shared" si="54"/>
        <v>#REF!</v>
      </c>
      <c r="Q32" s="247" t="e">
        <f t="shared" ref="Q32:U32" si="55">E32*3</f>
        <v>#REF!</v>
      </c>
      <c r="R32" s="247" t="e">
        <f t="shared" si="55"/>
        <v>#REF!</v>
      </c>
      <c r="S32" s="247" t="e">
        <f t="shared" si="55"/>
        <v>#REF!</v>
      </c>
      <c r="T32" s="247" t="e">
        <f t="shared" si="55"/>
        <v>#REF!</v>
      </c>
      <c r="U32" s="247" t="e">
        <f t="shared" si="55"/>
        <v>#REF!</v>
      </c>
      <c r="W32" s="247" t="e">
        <f t="shared" ref="W32:AA32" si="56">E32*4</f>
        <v>#REF!</v>
      </c>
      <c r="X32" s="247" t="e">
        <f t="shared" si="56"/>
        <v>#REF!</v>
      </c>
      <c r="Y32" s="247" t="e">
        <f t="shared" si="56"/>
        <v>#REF!</v>
      </c>
      <c r="Z32" s="247" t="e">
        <f t="shared" si="56"/>
        <v>#REF!</v>
      </c>
      <c r="AA32" s="247" t="e">
        <f t="shared" si="56"/>
        <v>#REF!</v>
      </c>
      <c r="AC32" s="247" t="e">
        <f t="shared" ref="AC32:AG32" si="57">E32*5</f>
        <v>#REF!</v>
      </c>
      <c r="AD32" s="247" t="e">
        <f t="shared" si="57"/>
        <v>#REF!</v>
      </c>
      <c r="AE32" s="247" t="e">
        <f t="shared" si="57"/>
        <v>#REF!</v>
      </c>
      <c r="AF32" s="247" t="e">
        <f t="shared" si="57"/>
        <v>#REF!</v>
      </c>
      <c r="AG32" s="247" t="e">
        <f t="shared" si="57"/>
        <v>#REF!</v>
      </c>
    </row>
    <row r="33" spans="1:34" ht="15.75" customHeight="1">
      <c r="A33" s="248" t="e">
        <f t="shared" si="42"/>
        <v>#REF!</v>
      </c>
      <c r="B33" s="179"/>
      <c r="C33" s="14"/>
      <c r="D33" s="14"/>
      <c r="E33" s="247" t="e">
        <f t="shared" ref="E33:I33" si="58">#REF!</f>
        <v>#REF!</v>
      </c>
      <c r="F33" s="247" t="e">
        <f t="shared" si="58"/>
        <v>#REF!</v>
      </c>
      <c r="G33" s="247" t="e">
        <f t="shared" si="58"/>
        <v>#REF!</v>
      </c>
      <c r="H33" s="247" t="e">
        <f t="shared" si="58"/>
        <v>#REF!</v>
      </c>
      <c r="I33" s="247" t="e">
        <f t="shared" si="58"/>
        <v>#REF!</v>
      </c>
      <c r="K33" s="247" t="e">
        <f t="shared" ref="K33:O33" si="59">#REF!</f>
        <v>#REF!</v>
      </c>
      <c r="L33" s="247" t="e">
        <f t="shared" si="59"/>
        <v>#REF!</v>
      </c>
      <c r="M33" s="247" t="e">
        <f t="shared" si="59"/>
        <v>#REF!</v>
      </c>
      <c r="N33" s="247" t="e">
        <f t="shared" si="59"/>
        <v>#REF!</v>
      </c>
      <c r="O33" s="247" t="e">
        <f t="shared" si="59"/>
        <v>#REF!</v>
      </c>
      <c r="Q33" s="247" t="e">
        <f t="shared" ref="Q33:U33" si="60">E33*3</f>
        <v>#REF!</v>
      </c>
      <c r="R33" s="247" t="e">
        <f t="shared" si="60"/>
        <v>#REF!</v>
      </c>
      <c r="S33" s="247" t="e">
        <f t="shared" si="60"/>
        <v>#REF!</v>
      </c>
      <c r="T33" s="247" t="e">
        <f t="shared" si="60"/>
        <v>#REF!</v>
      </c>
      <c r="U33" s="247" t="e">
        <f t="shared" si="60"/>
        <v>#REF!</v>
      </c>
      <c r="W33" s="247" t="e">
        <f t="shared" ref="W33:AA33" si="61">E33*4</f>
        <v>#REF!</v>
      </c>
      <c r="X33" s="247" t="e">
        <f t="shared" si="61"/>
        <v>#REF!</v>
      </c>
      <c r="Y33" s="247" t="e">
        <f t="shared" si="61"/>
        <v>#REF!</v>
      </c>
      <c r="Z33" s="247" t="e">
        <f t="shared" si="61"/>
        <v>#REF!</v>
      </c>
      <c r="AA33" s="247" t="e">
        <f t="shared" si="61"/>
        <v>#REF!</v>
      </c>
      <c r="AC33" s="247" t="e">
        <f t="shared" ref="AC33:AG33" si="62">E33*5</f>
        <v>#REF!</v>
      </c>
      <c r="AD33" s="247" t="e">
        <f t="shared" si="62"/>
        <v>#REF!</v>
      </c>
      <c r="AE33" s="247" t="e">
        <f t="shared" si="62"/>
        <v>#REF!</v>
      </c>
      <c r="AF33" s="247" t="e">
        <f t="shared" si="62"/>
        <v>#REF!</v>
      </c>
      <c r="AG33" s="247" t="e">
        <f t="shared" si="62"/>
        <v>#REF!</v>
      </c>
    </row>
    <row r="34" spans="1:34" ht="15.75" customHeight="1">
      <c r="A34" s="248" t="e">
        <f t="shared" si="42"/>
        <v>#REF!</v>
      </c>
      <c r="B34" s="179"/>
      <c r="C34" s="14"/>
      <c r="D34" s="14"/>
      <c r="E34" s="247" t="e">
        <f t="shared" ref="E34:I34" si="63">#REF!</f>
        <v>#REF!</v>
      </c>
      <c r="F34" s="247" t="e">
        <f t="shared" si="63"/>
        <v>#REF!</v>
      </c>
      <c r="G34" s="247" t="e">
        <f t="shared" si="63"/>
        <v>#REF!</v>
      </c>
      <c r="H34" s="247" t="e">
        <f t="shared" si="63"/>
        <v>#REF!</v>
      </c>
      <c r="I34" s="247" t="e">
        <f t="shared" si="63"/>
        <v>#REF!</v>
      </c>
      <c r="K34" s="247" t="e">
        <f t="shared" ref="K34:O34" si="64">#REF!</f>
        <v>#REF!</v>
      </c>
      <c r="L34" s="247" t="e">
        <f t="shared" si="64"/>
        <v>#REF!</v>
      </c>
      <c r="M34" s="247" t="e">
        <f t="shared" si="64"/>
        <v>#REF!</v>
      </c>
      <c r="N34" s="247" t="e">
        <f t="shared" si="64"/>
        <v>#REF!</v>
      </c>
      <c r="O34" s="247" t="e">
        <f t="shared" si="64"/>
        <v>#REF!</v>
      </c>
      <c r="Q34" s="247" t="e">
        <f t="shared" ref="Q34:U34" si="65">E34*3</f>
        <v>#REF!</v>
      </c>
      <c r="R34" s="247" t="e">
        <f t="shared" si="65"/>
        <v>#REF!</v>
      </c>
      <c r="S34" s="247" t="e">
        <f t="shared" si="65"/>
        <v>#REF!</v>
      </c>
      <c r="T34" s="247" t="e">
        <f t="shared" si="65"/>
        <v>#REF!</v>
      </c>
      <c r="U34" s="247" t="e">
        <f t="shared" si="65"/>
        <v>#REF!</v>
      </c>
      <c r="W34" s="247" t="e">
        <f t="shared" ref="W34:AA34" si="66">E34*4</f>
        <v>#REF!</v>
      </c>
      <c r="X34" s="247" t="e">
        <f t="shared" si="66"/>
        <v>#REF!</v>
      </c>
      <c r="Y34" s="247" t="e">
        <f t="shared" si="66"/>
        <v>#REF!</v>
      </c>
      <c r="Z34" s="247" t="e">
        <f t="shared" si="66"/>
        <v>#REF!</v>
      </c>
      <c r="AA34" s="247" t="e">
        <f t="shared" si="66"/>
        <v>#REF!</v>
      </c>
      <c r="AC34" s="247" t="e">
        <f t="shared" ref="AC34:AG34" si="67">E34*5</f>
        <v>#REF!</v>
      </c>
      <c r="AD34" s="247" t="e">
        <f t="shared" si="67"/>
        <v>#REF!</v>
      </c>
      <c r="AE34" s="247" t="e">
        <f t="shared" si="67"/>
        <v>#REF!</v>
      </c>
      <c r="AF34" s="247" t="e">
        <f t="shared" si="67"/>
        <v>#REF!</v>
      </c>
      <c r="AG34" s="247" t="e">
        <f t="shared" si="67"/>
        <v>#REF!</v>
      </c>
    </row>
    <row r="35" spans="1:34" ht="15.75" customHeight="1"/>
    <row r="36" spans="1:34" ht="15.75" customHeight="1">
      <c r="B36" s="127" t="s">
        <v>208</v>
      </c>
      <c r="E36" s="249" t="e">
        <f t="shared" ref="E36:I36" si="68">SUM(E26:E35)</f>
        <v>#REF!</v>
      </c>
      <c r="F36" s="250" t="e">
        <f t="shared" si="68"/>
        <v>#REF!</v>
      </c>
      <c r="G36" s="250" t="e">
        <f t="shared" si="68"/>
        <v>#REF!</v>
      </c>
      <c r="H36" s="250" t="e">
        <f t="shared" si="68"/>
        <v>#REF!</v>
      </c>
      <c r="I36" s="251" t="e">
        <f t="shared" si="68"/>
        <v>#REF!</v>
      </c>
      <c r="K36" s="249" t="e">
        <f t="shared" ref="K36:O36" si="69">SUM(K26:K35)</f>
        <v>#REF!</v>
      </c>
      <c r="L36" s="250" t="e">
        <f t="shared" si="69"/>
        <v>#REF!</v>
      </c>
      <c r="M36" s="250" t="e">
        <f t="shared" si="69"/>
        <v>#REF!</v>
      </c>
      <c r="N36" s="250" t="e">
        <f t="shared" si="69"/>
        <v>#REF!</v>
      </c>
      <c r="O36" s="251" t="e">
        <f t="shared" si="69"/>
        <v>#REF!</v>
      </c>
      <c r="Q36" s="249" t="e">
        <f t="shared" ref="Q36:U36" si="70">SUM(Q26:Q35)</f>
        <v>#REF!</v>
      </c>
      <c r="R36" s="250" t="e">
        <f t="shared" si="70"/>
        <v>#REF!</v>
      </c>
      <c r="S36" s="250" t="e">
        <f t="shared" si="70"/>
        <v>#REF!</v>
      </c>
      <c r="T36" s="250" t="e">
        <f t="shared" si="70"/>
        <v>#REF!</v>
      </c>
      <c r="U36" s="251" t="e">
        <f t="shared" si="70"/>
        <v>#REF!</v>
      </c>
      <c r="W36" s="249" t="e">
        <f t="shared" ref="W36:AA36" si="71">SUM(W26:W35)</f>
        <v>#REF!</v>
      </c>
      <c r="X36" s="250" t="e">
        <f t="shared" si="71"/>
        <v>#REF!</v>
      </c>
      <c r="Y36" s="250" t="e">
        <f t="shared" si="71"/>
        <v>#REF!</v>
      </c>
      <c r="Z36" s="250" t="e">
        <f t="shared" si="71"/>
        <v>#REF!</v>
      </c>
      <c r="AA36" s="251" t="e">
        <f t="shared" si="71"/>
        <v>#REF!</v>
      </c>
      <c r="AC36" s="249" t="e">
        <f t="shared" ref="AC36:AG36" si="72">SUM(AC26:AC35)</f>
        <v>#REF!</v>
      </c>
      <c r="AD36" s="250" t="e">
        <f t="shared" si="72"/>
        <v>#REF!</v>
      </c>
      <c r="AE36" s="250" t="e">
        <f t="shared" si="72"/>
        <v>#REF!</v>
      </c>
      <c r="AF36" s="250" t="e">
        <f t="shared" si="72"/>
        <v>#REF!</v>
      </c>
      <c r="AG36" s="251" t="e">
        <f t="shared" si="72"/>
        <v>#REF!</v>
      </c>
    </row>
    <row r="37" spans="1:34" ht="15.75" customHeight="1"/>
    <row r="38" spans="1:34" ht="15.75" customHeight="1">
      <c r="A38" s="1213" t="s">
        <v>417</v>
      </c>
      <c r="B38" s="1208"/>
      <c r="C38" s="1208"/>
      <c r="D38" s="1208"/>
      <c r="E38" s="1208"/>
      <c r="F38" s="1208"/>
      <c r="G38" s="1208"/>
      <c r="H38" s="1208"/>
      <c r="I38" s="1208"/>
      <c r="J38" s="1209"/>
      <c r="L38" s="245"/>
      <c r="M38" s="245"/>
    </row>
    <row r="39" spans="1:34" ht="15.75" customHeight="1">
      <c r="A39" s="127" t="s">
        <v>475</v>
      </c>
      <c r="E39" s="133" t="e">
        <f t="shared" ref="E39:I39" si="73">E69</f>
        <v>#REF!</v>
      </c>
      <c r="F39" s="133" t="e">
        <f t="shared" si="73"/>
        <v>#REF!</v>
      </c>
      <c r="G39" s="133" t="e">
        <f t="shared" si="73"/>
        <v>#REF!</v>
      </c>
      <c r="H39" s="133" t="e">
        <f t="shared" si="73"/>
        <v>#REF!</v>
      </c>
      <c r="I39" s="133" t="e">
        <f t="shared" si="73"/>
        <v>#REF!</v>
      </c>
      <c r="J39" s="133" t="e">
        <f>SUM(E39:I39)</f>
        <v>#REF!</v>
      </c>
      <c r="K39" s="133" t="e">
        <f t="shared" ref="K39:O39" si="74">K69</f>
        <v>#REF!</v>
      </c>
      <c r="L39" s="133" t="e">
        <f t="shared" si="74"/>
        <v>#REF!</v>
      </c>
      <c r="M39" s="133" t="e">
        <f t="shared" si="74"/>
        <v>#REF!</v>
      </c>
      <c r="N39" s="133" t="e">
        <f t="shared" si="74"/>
        <v>#REF!</v>
      </c>
      <c r="O39" s="133" t="e">
        <f t="shared" si="74"/>
        <v>#REF!</v>
      </c>
      <c r="P39" s="133" t="e">
        <f>SUM(K39:O39)</f>
        <v>#REF!</v>
      </c>
      <c r="Q39" s="133" t="e">
        <f t="shared" ref="Q39:U39" si="75">Q69</f>
        <v>#REF!</v>
      </c>
      <c r="R39" s="133" t="e">
        <f t="shared" si="75"/>
        <v>#REF!</v>
      </c>
      <c r="S39" s="133" t="e">
        <f t="shared" si="75"/>
        <v>#REF!</v>
      </c>
      <c r="T39" s="133" t="e">
        <f t="shared" si="75"/>
        <v>#REF!</v>
      </c>
      <c r="U39" s="133" t="e">
        <f t="shared" si="75"/>
        <v>#REF!</v>
      </c>
      <c r="V39" s="133" t="e">
        <f>SUM(Q39:U39)</f>
        <v>#REF!</v>
      </c>
      <c r="W39" s="133" t="e">
        <f t="shared" ref="W39:AA39" si="76">W69</f>
        <v>#REF!</v>
      </c>
      <c r="X39" s="133" t="e">
        <f t="shared" si="76"/>
        <v>#REF!</v>
      </c>
      <c r="Y39" s="133" t="e">
        <f t="shared" si="76"/>
        <v>#REF!</v>
      </c>
      <c r="Z39" s="133" t="e">
        <f t="shared" si="76"/>
        <v>#REF!</v>
      </c>
      <c r="AA39" s="133" t="e">
        <f t="shared" si="76"/>
        <v>#REF!</v>
      </c>
      <c r="AB39" s="133" t="e">
        <f>SUM(W39:AA39)</f>
        <v>#REF!</v>
      </c>
      <c r="AC39" s="133" t="e">
        <f t="shared" ref="AC39:AG39" si="77">AC69</f>
        <v>#REF!</v>
      </c>
      <c r="AD39" s="133" t="e">
        <f t="shared" si="77"/>
        <v>#REF!</v>
      </c>
      <c r="AE39" s="133" t="e">
        <f t="shared" si="77"/>
        <v>#REF!</v>
      </c>
      <c r="AF39" s="133" t="e">
        <f t="shared" si="77"/>
        <v>#REF!</v>
      </c>
      <c r="AG39" s="133" t="e">
        <f t="shared" si="77"/>
        <v>#REF!</v>
      </c>
      <c r="AH39" s="133" t="e">
        <f>SUM(AC39:AG39)</f>
        <v>#REF!</v>
      </c>
    </row>
    <row r="40" spans="1:34" ht="15.75" customHeight="1">
      <c r="A40" s="127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</row>
    <row r="41" spans="1:34" ht="15.75" customHeight="1">
      <c r="A41" s="127" t="s">
        <v>476</v>
      </c>
      <c r="E41" s="252" t="e">
        <f t="shared" ref="E41:I41" si="78">SUM(E39:E40)</f>
        <v>#REF!</v>
      </c>
      <c r="F41" s="252" t="e">
        <f t="shared" si="78"/>
        <v>#REF!</v>
      </c>
      <c r="G41" s="252" t="e">
        <f t="shared" si="78"/>
        <v>#REF!</v>
      </c>
      <c r="H41" s="252" t="e">
        <f t="shared" si="78"/>
        <v>#REF!</v>
      </c>
      <c r="I41" s="252" t="e">
        <f t="shared" si="78"/>
        <v>#REF!</v>
      </c>
      <c r="J41" s="252" t="e">
        <f>SUM(E41:I41)</f>
        <v>#REF!</v>
      </c>
      <c r="K41" s="252" t="e">
        <f t="shared" ref="K41:O41" si="79">SUM(K39:K40)</f>
        <v>#REF!</v>
      </c>
      <c r="L41" s="252" t="e">
        <f t="shared" si="79"/>
        <v>#REF!</v>
      </c>
      <c r="M41" s="252" t="e">
        <f t="shared" si="79"/>
        <v>#REF!</v>
      </c>
      <c r="N41" s="252" t="e">
        <f t="shared" si="79"/>
        <v>#REF!</v>
      </c>
      <c r="O41" s="252" t="e">
        <f t="shared" si="79"/>
        <v>#REF!</v>
      </c>
      <c r="P41" s="252" t="e">
        <f>SUM(K41:O41)</f>
        <v>#REF!</v>
      </c>
      <c r="Q41" s="252" t="e">
        <f t="shared" ref="Q41:U41" si="80">SUM(Q39:Q40)</f>
        <v>#REF!</v>
      </c>
      <c r="R41" s="252" t="e">
        <f t="shared" si="80"/>
        <v>#REF!</v>
      </c>
      <c r="S41" s="252" t="e">
        <f t="shared" si="80"/>
        <v>#REF!</v>
      </c>
      <c r="T41" s="252" t="e">
        <f t="shared" si="80"/>
        <v>#REF!</v>
      </c>
      <c r="U41" s="252" t="e">
        <f t="shared" si="80"/>
        <v>#REF!</v>
      </c>
      <c r="V41" s="252" t="e">
        <f>SUM(Q41:U41)</f>
        <v>#REF!</v>
      </c>
      <c r="W41" s="252" t="e">
        <f t="shared" ref="W41:AA41" si="81">SUM(W39:W40)</f>
        <v>#REF!</v>
      </c>
      <c r="X41" s="252" t="e">
        <f t="shared" si="81"/>
        <v>#REF!</v>
      </c>
      <c r="Y41" s="252" t="e">
        <f t="shared" si="81"/>
        <v>#REF!</v>
      </c>
      <c r="Z41" s="252" t="e">
        <f t="shared" si="81"/>
        <v>#REF!</v>
      </c>
      <c r="AA41" s="252" t="e">
        <f t="shared" si="81"/>
        <v>#REF!</v>
      </c>
      <c r="AB41" s="252" t="e">
        <f>SUM(W41:AA41)</f>
        <v>#REF!</v>
      </c>
      <c r="AC41" s="252" t="e">
        <f t="shared" ref="AC41:AG41" si="82">SUM(AC39:AC40)</f>
        <v>#REF!</v>
      </c>
      <c r="AD41" s="252" t="e">
        <f t="shared" si="82"/>
        <v>#REF!</v>
      </c>
      <c r="AE41" s="252" t="e">
        <f t="shared" si="82"/>
        <v>#REF!</v>
      </c>
      <c r="AF41" s="252" t="e">
        <f t="shared" si="82"/>
        <v>#REF!</v>
      </c>
      <c r="AG41" s="252" t="e">
        <f t="shared" si="82"/>
        <v>#REF!</v>
      </c>
      <c r="AH41" s="252" t="e">
        <f>SUM(AC41:AG41)</f>
        <v>#REF!</v>
      </c>
    </row>
    <row r="42" spans="1:34" ht="15.75" customHeight="1"/>
    <row r="43" spans="1:34" ht="15.75" customHeight="1">
      <c r="A43" s="1214" t="s">
        <v>475</v>
      </c>
      <c r="B43" s="1208"/>
      <c r="C43" s="1208"/>
      <c r="D43" s="1208"/>
      <c r="E43" s="1208"/>
      <c r="F43" s="1208"/>
      <c r="G43" s="1208"/>
      <c r="H43" s="1208"/>
      <c r="I43" s="1209"/>
      <c r="K43" s="1"/>
      <c r="L43" s="253"/>
      <c r="M43" s="253"/>
      <c r="N43" s="178"/>
      <c r="Q43" s="1"/>
      <c r="R43" s="253"/>
      <c r="S43" s="253"/>
      <c r="T43" s="178"/>
      <c r="W43" s="1"/>
      <c r="X43" s="253"/>
      <c r="Y43" s="253"/>
      <c r="Z43" s="178"/>
      <c r="AC43" s="1"/>
      <c r="AD43" s="253"/>
      <c r="AE43" s="253"/>
      <c r="AF43" s="178"/>
    </row>
    <row r="44" spans="1:34" ht="15.75" customHeight="1">
      <c r="A44" s="254"/>
      <c r="B44" s="255"/>
      <c r="C44" s="255"/>
      <c r="D44" s="255"/>
      <c r="E44" s="256" t="s">
        <v>466</v>
      </c>
      <c r="F44" s="256" t="s">
        <v>477</v>
      </c>
      <c r="G44" s="256" t="s">
        <v>478</v>
      </c>
      <c r="H44" s="256" t="s">
        <v>479</v>
      </c>
      <c r="I44" s="257" t="s">
        <v>480</v>
      </c>
      <c r="K44" s="258" t="s">
        <v>466</v>
      </c>
      <c r="L44" s="256" t="s">
        <v>477</v>
      </c>
      <c r="M44" s="256" t="s">
        <v>478</v>
      </c>
      <c r="N44" s="256" t="s">
        <v>479</v>
      </c>
      <c r="O44" s="257" t="s">
        <v>480</v>
      </c>
      <c r="Q44" s="258" t="s">
        <v>466</v>
      </c>
      <c r="R44" s="256" t="s">
        <v>477</v>
      </c>
      <c r="S44" s="256" t="s">
        <v>478</v>
      </c>
      <c r="T44" s="256" t="s">
        <v>479</v>
      </c>
      <c r="U44" s="257" t="s">
        <v>480</v>
      </c>
      <c r="W44" s="258" t="s">
        <v>466</v>
      </c>
      <c r="X44" s="256" t="s">
        <v>477</v>
      </c>
      <c r="Y44" s="256" t="s">
        <v>478</v>
      </c>
      <c r="Z44" s="256" t="s">
        <v>479</v>
      </c>
      <c r="AA44" s="257" t="s">
        <v>480</v>
      </c>
      <c r="AC44" s="258" t="s">
        <v>466</v>
      </c>
      <c r="AD44" s="256" t="s">
        <v>477</v>
      </c>
      <c r="AE44" s="256" t="s">
        <v>478</v>
      </c>
      <c r="AF44" s="256" t="s">
        <v>479</v>
      </c>
      <c r="AG44" s="257" t="s">
        <v>480</v>
      </c>
    </row>
    <row r="45" spans="1:34" ht="15.75" customHeight="1">
      <c r="A45" s="7" t="s">
        <v>390</v>
      </c>
      <c r="B45" s="133">
        <v>75</v>
      </c>
      <c r="E45" s="133">
        <f>DPM!J12</f>
        <v>94</v>
      </c>
      <c r="F45" s="133">
        <f>DPM!K12</f>
        <v>317</v>
      </c>
      <c r="G45" s="133">
        <f>DPM!L12</f>
        <v>643</v>
      </c>
      <c r="H45" s="133">
        <f>DPM!M12</f>
        <v>1305</v>
      </c>
      <c r="I45" s="133">
        <f>DPM!N12</f>
        <v>6645</v>
      </c>
      <c r="K45" s="133">
        <f t="shared" ref="K45:O45" si="83">E45</f>
        <v>94</v>
      </c>
      <c r="L45" s="133">
        <f t="shared" si="83"/>
        <v>317</v>
      </c>
      <c r="M45" s="133">
        <f t="shared" si="83"/>
        <v>643</v>
      </c>
      <c r="N45" s="133">
        <f t="shared" si="83"/>
        <v>1305</v>
      </c>
      <c r="O45" s="133">
        <f t="shared" si="83"/>
        <v>6645</v>
      </c>
      <c r="Q45" s="133">
        <f t="shared" ref="Q45:U45" si="84">K45</f>
        <v>94</v>
      </c>
      <c r="R45" s="133">
        <f t="shared" si="84"/>
        <v>317</v>
      </c>
      <c r="S45" s="133">
        <f t="shared" si="84"/>
        <v>643</v>
      </c>
      <c r="T45" s="133">
        <f t="shared" si="84"/>
        <v>1305</v>
      </c>
      <c r="U45" s="133">
        <f t="shared" si="84"/>
        <v>6645</v>
      </c>
      <c r="W45" s="133">
        <f t="shared" ref="W45:AA45" si="85">Q45</f>
        <v>94</v>
      </c>
      <c r="X45" s="133">
        <f t="shared" si="85"/>
        <v>317</v>
      </c>
      <c r="Y45" s="133">
        <f t="shared" si="85"/>
        <v>643</v>
      </c>
      <c r="Z45" s="133">
        <f t="shared" si="85"/>
        <v>1305</v>
      </c>
      <c r="AA45" s="133">
        <f t="shared" si="85"/>
        <v>6645</v>
      </c>
      <c r="AC45" s="133">
        <f t="shared" ref="AC45:AG45" si="86">W45</f>
        <v>94</v>
      </c>
      <c r="AD45" s="133">
        <f t="shared" si="86"/>
        <v>317</v>
      </c>
      <c r="AE45" s="133">
        <f t="shared" si="86"/>
        <v>643</v>
      </c>
      <c r="AF45" s="133">
        <f t="shared" si="86"/>
        <v>1305</v>
      </c>
      <c r="AG45" s="133">
        <f t="shared" si="86"/>
        <v>6645</v>
      </c>
    </row>
    <row r="46" spans="1:34" ht="15.75" customHeight="1">
      <c r="A46" s="7" t="s">
        <v>394</v>
      </c>
      <c r="B46" s="133">
        <v>70</v>
      </c>
      <c r="E46" s="133">
        <f>DPM!J13</f>
        <v>88.65</v>
      </c>
      <c r="F46" s="133">
        <f>DPM!K13</f>
        <v>1129.3499999999999</v>
      </c>
      <c r="G46" s="133">
        <f>DPM!L13</f>
        <v>2650.65</v>
      </c>
      <c r="H46" s="133">
        <f>DPM!M13</f>
        <v>5740</v>
      </c>
      <c r="I46" s="133">
        <f>DPM!N13</f>
        <v>30660</v>
      </c>
      <c r="K46" s="133">
        <f t="shared" ref="K46:O46" si="87">E46</f>
        <v>88.65</v>
      </c>
      <c r="L46" s="133">
        <f t="shared" si="87"/>
        <v>1129.3499999999999</v>
      </c>
      <c r="M46" s="133">
        <f t="shared" si="87"/>
        <v>2650.65</v>
      </c>
      <c r="N46" s="133">
        <f t="shared" si="87"/>
        <v>5740</v>
      </c>
      <c r="O46" s="133">
        <f t="shared" si="87"/>
        <v>30660</v>
      </c>
      <c r="Q46" s="133">
        <f t="shared" ref="Q46:U46" si="88">K46</f>
        <v>88.65</v>
      </c>
      <c r="R46" s="133">
        <f t="shared" si="88"/>
        <v>1129.3499999999999</v>
      </c>
      <c r="S46" s="133">
        <f t="shared" si="88"/>
        <v>2650.65</v>
      </c>
      <c r="T46" s="133">
        <f t="shared" si="88"/>
        <v>5740</v>
      </c>
      <c r="U46" s="133">
        <f t="shared" si="88"/>
        <v>30660</v>
      </c>
      <c r="W46" s="133">
        <f t="shared" ref="W46:AA46" si="89">Q46</f>
        <v>88.65</v>
      </c>
      <c r="X46" s="133">
        <f t="shared" si="89"/>
        <v>1129.3499999999999</v>
      </c>
      <c r="Y46" s="133">
        <f t="shared" si="89"/>
        <v>2650.65</v>
      </c>
      <c r="Z46" s="133">
        <f t="shared" si="89"/>
        <v>5740</v>
      </c>
      <c r="AA46" s="133">
        <f t="shared" si="89"/>
        <v>30660</v>
      </c>
      <c r="AC46" s="133">
        <f t="shared" ref="AC46:AG46" si="90">W46</f>
        <v>88.65</v>
      </c>
      <c r="AD46" s="133">
        <f t="shared" si="90"/>
        <v>1129.3499999999999</v>
      </c>
      <c r="AE46" s="133">
        <f t="shared" si="90"/>
        <v>2650.65</v>
      </c>
      <c r="AF46" s="133">
        <f t="shared" si="90"/>
        <v>5740</v>
      </c>
      <c r="AG46" s="133">
        <f t="shared" si="90"/>
        <v>30660</v>
      </c>
    </row>
    <row r="47" spans="1:34" ht="15.75" customHeight="1">
      <c r="A47" s="7" t="s">
        <v>398</v>
      </c>
      <c r="B47" s="133">
        <v>65</v>
      </c>
      <c r="E47" s="133">
        <f>DPM!J14</f>
        <v>164.7</v>
      </c>
      <c r="F47" s="133">
        <f>DPM!K14</f>
        <v>2097.2999999999997</v>
      </c>
      <c r="G47" s="133">
        <f>DPM!L14</f>
        <v>4922.7</v>
      </c>
      <c r="H47" s="133">
        <f>DPM!M14</f>
        <v>10660</v>
      </c>
      <c r="I47" s="133">
        <f>DPM!N14</f>
        <v>56940</v>
      </c>
      <c r="K47" s="133">
        <f t="shared" ref="K47:O47" si="91">E47</f>
        <v>164.7</v>
      </c>
      <c r="L47" s="133">
        <f t="shared" si="91"/>
        <v>2097.2999999999997</v>
      </c>
      <c r="M47" s="133">
        <f t="shared" si="91"/>
        <v>4922.7</v>
      </c>
      <c r="N47" s="133">
        <f t="shared" si="91"/>
        <v>10660</v>
      </c>
      <c r="O47" s="133">
        <f t="shared" si="91"/>
        <v>56940</v>
      </c>
      <c r="Q47" s="133">
        <f t="shared" ref="Q47:U47" si="92">K47</f>
        <v>164.7</v>
      </c>
      <c r="R47" s="133">
        <f t="shared" si="92"/>
        <v>2097.2999999999997</v>
      </c>
      <c r="S47" s="133">
        <f t="shared" si="92"/>
        <v>4922.7</v>
      </c>
      <c r="T47" s="133">
        <f t="shared" si="92"/>
        <v>10660</v>
      </c>
      <c r="U47" s="133">
        <f t="shared" si="92"/>
        <v>56940</v>
      </c>
      <c r="W47" s="133">
        <f t="shared" ref="W47:AA47" si="93">Q47</f>
        <v>164.7</v>
      </c>
      <c r="X47" s="133">
        <f t="shared" si="93"/>
        <v>2097.2999999999997</v>
      </c>
      <c r="Y47" s="133">
        <f t="shared" si="93"/>
        <v>4922.7</v>
      </c>
      <c r="Z47" s="133">
        <f t="shared" si="93"/>
        <v>10660</v>
      </c>
      <c r="AA47" s="133">
        <f t="shared" si="93"/>
        <v>56940</v>
      </c>
      <c r="AC47" s="133">
        <f t="shared" ref="AC47:AG47" si="94">W47</f>
        <v>164.7</v>
      </c>
      <c r="AD47" s="133">
        <f t="shared" si="94"/>
        <v>2097.2999999999997</v>
      </c>
      <c r="AE47" s="133">
        <f t="shared" si="94"/>
        <v>4922.7</v>
      </c>
      <c r="AF47" s="133">
        <f t="shared" si="94"/>
        <v>10660</v>
      </c>
      <c r="AG47" s="133">
        <f t="shared" si="94"/>
        <v>56940</v>
      </c>
    </row>
    <row r="48" spans="1:34" ht="15.75" customHeight="1">
      <c r="A48" s="7" t="s">
        <v>402</v>
      </c>
      <c r="B48" s="133">
        <v>55</v>
      </c>
      <c r="E48" s="133">
        <f>DPM!J15</f>
        <v>348.25</v>
      </c>
      <c r="F48" s="133">
        <f>DPM!K15</f>
        <v>4436.75</v>
      </c>
      <c r="G48" s="133">
        <f>DPM!L15</f>
        <v>10413.25</v>
      </c>
      <c r="H48" s="133">
        <f>DPM!M15</f>
        <v>22550</v>
      </c>
      <c r="I48" s="133">
        <f>DPM!N15</f>
        <v>120450</v>
      </c>
      <c r="K48" s="133">
        <f t="shared" ref="K48:O48" si="95">E48</f>
        <v>348.25</v>
      </c>
      <c r="L48" s="133">
        <f t="shared" si="95"/>
        <v>4436.75</v>
      </c>
      <c r="M48" s="133">
        <f t="shared" si="95"/>
        <v>10413.25</v>
      </c>
      <c r="N48" s="133">
        <f t="shared" si="95"/>
        <v>22550</v>
      </c>
      <c r="O48" s="133">
        <f t="shared" si="95"/>
        <v>120450</v>
      </c>
      <c r="Q48" s="133">
        <f t="shared" ref="Q48:U48" si="96">K48</f>
        <v>348.25</v>
      </c>
      <c r="R48" s="133">
        <f t="shared" si="96"/>
        <v>4436.75</v>
      </c>
      <c r="S48" s="133">
        <f t="shared" si="96"/>
        <v>10413.25</v>
      </c>
      <c r="T48" s="133">
        <f t="shared" si="96"/>
        <v>22550</v>
      </c>
      <c r="U48" s="133">
        <f t="shared" si="96"/>
        <v>120450</v>
      </c>
      <c r="W48" s="133">
        <f t="shared" ref="W48:AA48" si="97">Q48</f>
        <v>348.25</v>
      </c>
      <c r="X48" s="133">
        <f t="shared" si="97"/>
        <v>4436.75</v>
      </c>
      <c r="Y48" s="133">
        <f t="shared" si="97"/>
        <v>10413.25</v>
      </c>
      <c r="Z48" s="133">
        <f t="shared" si="97"/>
        <v>22550</v>
      </c>
      <c r="AA48" s="133">
        <f t="shared" si="97"/>
        <v>120450</v>
      </c>
      <c r="AC48" s="133">
        <f t="shared" ref="AC48:AG48" si="98">W48</f>
        <v>348.25</v>
      </c>
      <c r="AD48" s="133">
        <f t="shared" si="98"/>
        <v>4436.75</v>
      </c>
      <c r="AE48" s="133">
        <f t="shared" si="98"/>
        <v>10413.25</v>
      </c>
      <c r="AF48" s="133">
        <f t="shared" si="98"/>
        <v>22550</v>
      </c>
      <c r="AG48" s="133">
        <f t="shared" si="98"/>
        <v>120450</v>
      </c>
    </row>
    <row r="49" spans="1:33" ht="15.75" customHeight="1">
      <c r="A49" s="7" t="s">
        <v>404</v>
      </c>
      <c r="B49" s="133">
        <v>50</v>
      </c>
      <c r="E49" s="133">
        <f>DPM!J16</f>
        <v>633.5</v>
      </c>
      <c r="F49" s="133">
        <f>DPM!K16</f>
        <v>8066.5000000000009</v>
      </c>
      <c r="G49" s="133">
        <f>DPM!L16</f>
        <v>18933.5</v>
      </c>
      <c r="H49" s="133">
        <f>DPM!M16</f>
        <v>41000</v>
      </c>
      <c r="I49" s="133">
        <f>DPM!N16</f>
        <v>219000</v>
      </c>
      <c r="K49" s="133">
        <f t="shared" ref="K49:O49" si="99">E49</f>
        <v>633.5</v>
      </c>
      <c r="L49" s="133">
        <f t="shared" si="99"/>
        <v>8066.5000000000009</v>
      </c>
      <c r="M49" s="133">
        <f t="shared" si="99"/>
        <v>18933.5</v>
      </c>
      <c r="N49" s="133">
        <f t="shared" si="99"/>
        <v>41000</v>
      </c>
      <c r="O49" s="133">
        <f t="shared" si="99"/>
        <v>219000</v>
      </c>
      <c r="Q49" s="133">
        <f t="shared" ref="Q49:U49" si="100">K49</f>
        <v>633.5</v>
      </c>
      <c r="R49" s="133">
        <f t="shared" si="100"/>
        <v>8066.5000000000009</v>
      </c>
      <c r="S49" s="133">
        <f t="shared" si="100"/>
        <v>18933.5</v>
      </c>
      <c r="T49" s="133">
        <f t="shared" si="100"/>
        <v>41000</v>
      </c>
      <c r="U49" s="133">
        <f t="shared" si="100"/>
        <v>219000</v>
      </c>
      <c r="W49" s="133">
        <f t="shared" ref="W49:AA49" si="101">Q49</f>
        <v>633.5</v>
      </c>
      <c r="X49" s="133">
        <f t="shared" si="101"/>
        <v>8066.5000000000009</v>
      </c>
      <c r="Y49" s="133">
        <f t="shared" si="101"/>
        <v>18933.5</v>
      </c>
      <c r="Z49" s="133">
        <f t="shared" si="101"/>
        <v>41000</v>
      </c>
      <c r="AA49" s="133">
        <f t="shared" si="101"/>
        <v>219000</v>
      </c>
      <c r="AC49" s="133">
        <f t="shared" ref="AC49:AG49" si="102">W49</f>
        <v>633.5</v>
      </c>
      <c r="AD49" s="133">
        <f t="shared" si="102"/>
        <v>8066.5000000000009</v>
      </c>
      <c r="AE49" s="133">
        <f t="shared" si="102"/>
        <v>18933.5</v>
      </c>
      <c r="AF49" s="133">
        <f t="shared" si="102"/>
        <v>41000</v>
      </c>
      <c r="AG49" s="133">
        <f t="shared" si="102"/>
        <v>219000</v>
      </c>
    </row>
    <row r="50" spans="1:33" ht="15.75" customHeight="1">
      <c r="A50" s="7" t="s">
        <v>405</v>
      </c>
      <c r="B50" s="133">
        <v>45</v>
      </c>
      <c r="E50" s="133">
        <f>DPM!J17</f>
        <v>1710</v>
      </c>
      <c r="F50" s="133">
        <f>DPM!K17</f>
        <v>21780</v>
      </c>
      <c r="G50" s="133">
        <f>DPM!L17</f>
        <v>51120</v>
      </c>
      <c r="H50" s="133">
        <f>DPM!M17</f>
        <v>110700</v>
      </c>
      <c r="I50" s="133">
        <f>DPM!N17</f>
        <v>591300</v>
      </c>
      <c r="K50" s="133">
        <f t="shared" ref="K50:O50" si="103">E50</f>
        <v>1710</v>
      </c>
      <c r="L50" s="133">
        <f t="shared" si="103"/>
        <v>21780</v>
      </c>
      <c r="M50" s="133">
        <f t="shared" si="103"/>
        <v>51120</v>
      </c>
      <c r="N50" s="133">
        <f t="shared" si="103"/>
        <v>110700</v>
      </c>
      <c r="O50" s="133">
        <f t="shared" si="103"/>
        <v>591300</v>
      </c>
      <c r="Q50" s="133">
        <f t="shared" ref="Q50:U50" si="104">K50</f>
        <v>1710</v>
      </c>
      <c r="R50" s="133">
        <f t="shared" si="104"/>
        <v>21780</v>
      </c>
      <c r="S50" s="133">
        <f t="shared" si="104"/>
        <v>51120</v>
      </c>
      <c r="T50" s="133">
        <f t="shared" si="104"/>
        <v>110700</v>
      </c>
      <c r="U50" s="133">
        <f t="shared" si="104"/>
        <v>591300</v>
      </c>
      <c r="W50" s="133">
        <f t="shared" ref="W50:AA50" si="105">Q50</f>
        <v>1710</v>
      </c>
      <c r="X50" s="133">
        <f t="shared" si="105"/>
        <v>21780</v>
      </c>
      <c r="Y50" s="133">
        <f t="shared" si="105"/>
        <v>51120</v>
      </c>
      <c r="Z50" s="133">
        <f t="shared" si="105"/>
        <v>110700</v>
      </c>
      <c r="AA50" s="133">
        <f t="shared" si="105"/>
        <v>591300</v>
      </c>
      <c r="AC50" s="133">
        <f t="shared" ref="AC50:AG50" si="106">W50</f>
        <v>1710</v>
      </c>
      <c r="AD50" s="133">
        <f t="shared" si="106"/>
        <v>21780</v>
      </c>
      <c r="AE50" s="133">
        <f t="shared" si="106"/>
        <v>51120</v>
      </c>
      <c r="AF50" s="133">
        <f t="shared" si="106"/>
        <v>110700</v>
      </c>
      <c r="AG50" s="133">
        <f t="shared" si="106"/>
        <v>591300</v>
      </c>
    </row>
    <row r="51" spans="1:33" ht="15.75" customHeight="1">
      <c r="A51" s="7" t="s">
        <v>406</v>
      </c>
      <c r="B51" s="133">
        <v>40</v>
      </c>
      <c r="E51" s="133">
        <f>DPM!J18</f>
        <v>3039.0000000000005</v>
      </c>
      <c r="F51" s="133">
        <f>DPM!K18</f>
        <v>38721</v>
      </c>
      <c r="G51" s="133">
        <f>DPM!L18</f>
        <v>90879</v>
      </c>
      <c r="H51" s="133">
        <f>DPM!M18</f>
        <v>196800</v>
      </c>
      <c r="I51" s="133">
        <f>DPM!N18</f>
        <v>1051200</v>
      </c>
      <c r="K51" s="133">
        <f t="shared" ref="K51:O51" si="107">E51</f>
        <v>3039.0000000000005</v>
      </c>
      <c r="L51" s="133">
        <f t="shared" si="107"/>
        <v>38721</v>
      </c>
      <c r="M51" s="133">
        <f t="shared" si="107"/>
        <v>90879</v>
      </c>
      <c r="N51" s="133">
        <f t="shared" si="107"/>
        <v>196800</v>
      </c>
      <c r="O51" s="133">
        <f t="shared" si="107"/>
        <v>1051200</v>
      </c>
      <c r="Q51" s="133">
        <f t="shared" ref="Q51:U51" si="108">K51</f>
        <v>3039.0000000000005</v>
      </c>
      <c r="R51" s="133">
        <f t="shared" si="108"/>
        <v>38721</v>
      </c>
      <c r="S51" s="133">
        <f t="shared" si="108"/>
        <v>90879</v>
      </c>
      <c r="T51" s="133">
        <f t="shared" si="108"/>
        <v>196800</v>
      </c>
      <c r="U51" s="133">
        <f t="shared" si="108"/>
        <v>1051200</v>
      </c>
      <c r="W51" s="133">
        <f t="shared" ref="W51:AA51" si="109">Q51</f>
        <v>3039.0000000000005</v>
      </c>
      <c r="X51" s="133">
        <f t="shared" si="109"/>
        <v>38721</v>
      </c>
      <c r="Y51" s="133">
        <f t="shared" si="109"/>
        <v>90879</v>
      </c>
      <c r="Z51" s="133">
        <f t="shared" si="109"/>
        <v>196800</v>
      </c>
      <c r="AA51" s="133">
        <f t="shared" si="109"/>
        <v>1051200</v>
      </c>
      <c r="AC51" s="133">
        <f t="shared" ref="AC51:AG51" si="110">W51</f>
        <v>3039.0000000000005</v>
      </c>
      <c r="AD51" s="133">
        <f t="shared" si="110"/>
        <v>38721</v>
      </c>
      <c r="AE51" s="133">
        <f t="shared" si="110"/>
        <v>90879</v>
      </c>
      <c r="AF51" s="133">
        <f t="shared" si="110"/>
        <v>196800</v>
      </c>
      <c r="AG51" s="133">
        <f t="shared" si="110"/>
        <v>1051200</v>
      </c>
    </row>
    <row r="52" spans="1:33" ht="15.75" customHeight="1">
      <c r="B52" s="7" t="s">
        <v>208</v>
      </c>
      <c r="E52" s="133">
        <f>DPM!J19</f>
        <v>6078.1</v>
      </c>
      <c r="F52" s="133">
        <f>DPM!K19</f>
        <v>76547.899999999994</v>
      </c>
      <c r="G52" s="133">
        <f>DPM!L19</f>
        <v>179562.1</v>
      </c>
      <c r="H52" s="133">
        <f>DPM!M19</f>
        <v>388755</v>
      </c>
      <c r="I52" s="133">
        <f>DPM!N19</f>
        <v>2076195</v>
      </c>
      <c r="K52" s="133">
        <f t="shared" ref="K52:O52" si="111">E52</f>
        <v>6078.1</v>
      </c>
      <c r="L52" s="133">
        <f t="shared" si="111"/>
        <v>76547.899999999994</v>
      </c>
      <c r="M52" s="133">
        <f t="shared" si="111"/>
        <v>179562.1</v>
      </c>
      <c r="N52" s="133">
        <f t="shared" si="111"/>
        <v>388755</v>
      </c>
      <c r="O52" s="133">
        <f t="shared" si="111"/>
        <v>2076195</v>
      </c>
      <c r="Q52" s="133">
        <f t="shared" ref="Q52:U52" si="112">K52</f>
        <v>6078.1</v>
      </c>
      <c r="R52" s="133">
        <f t="shared" si="112"/>
        <v>76547.899999999994</v>
      </c>
      <c r="S52" s="133">
        <f t="shared" si="112"/>
        <v>179562.1</v>
      </c>
      <c r="T52" s="133">
        <f t="shared" si="112"/>
        <v>388755</v>
      </c>
      <c r="U52" s="133">
        <f t="shared" si="112"/>
        <v>2076195</v>
      </c>
      <c r="W52" s="133">
        <f t="shared" ref="W52:AA52" si="113">Q52</f>
        <v>6078.1</v>
      </c>
      <c r="X52" s="133">
        <f t="shared" si="113"/>
        <v>76547.899999999994</v>
      </c>
      <c r="Y52" s="133">
        <f t="shared" si="113"/>
        <v>179562.1</v>
      </c>
      <c r="Z52" s="133">
        <f t="shared" si="113"/>
        <v>388755</v>
      </c>
      <c r="AA52" s="133">
        <f t="shared" si="113"/>
        <v>2076195</v>
      </c>
      <c r="AC52" s="133">
        <f t="shared" ref="AC52:AG52" si="114">W52</f>
        <v>6078.1</v>
      </c>
      <c r="AD52" s="133">
        <f t="shared" si="114"/>
        <v>76547.899999999994</v>
      </c>
      <c r="AE52" s="133">
        <f t="shared" si="114"/>
        <v>179562.1</v>
      </c>
      <c r="AF52" s="133">
        <f t="shared" si="114"/>
        <v>388755</v>
      </c>
      <c r="AG52" s="133">
        <f t="shared" si="114"/>
        <v>2076195</v>
      </c>
    </row>
    <row r="53" spans="1:33" ht="15.75" customHeight="1">
      <c r="E53" s="133"/>
      <c r="F53" s="133"/>
      <c r="G53" s="133"/>
      <c r="H53" s="133"/>
      <c r="I53" s="133"/>
      <c r="K53" s="133">
        <f t="shared" ref="K53:O53" si="115">E53</f>
        <v>0</v>
      </c>
      <c r="L53" s="133">
        <f t="shared" si="115"/>
        <v>0</v>
      </c>
      <c r="M53" s="133">
        <f t="shared" si="115"/>
        <v>0</v>
      </c>
      <c r="N53" s="133">
        <f t="shared" si="115"/>
        <v>0</v>
      </c>
      <c r="O53" s="133">
        <f t="shared" si="115"/>
        <v>0</v>
      </c>
      <c r="Q53" s="133">
        <f t="shared" ref="Q53:U53" si="116">K53</f>
        <v>0</v>
      </c>
      <c r="R53" s="133">
        <f t="shared" si="116"/>
        <v>0</v>
      </c>
      <c r="S53" s="133">
        <f t="shared" si="116"/>
        <v>0</v>
      </c>
      <c r="T53" s="133">
        <f t="shared" si="116"/>
        <v>0</v>
      </c>
      <c r="U53" s="133">
        <f t="shared" si="116"/>
        <v>0</v>
      </c>
      <c r="W53" s="133">
        <f t="shared" ref="W53:AA53" si="117">Q53</f>
        <v>0</v>
      </c>
      <c r="X53" s="133">
        <f t="shared" si="117"/>
        <v>0</v>
      </c>
      <c r="Y53" s="133">
        <f t="shared" si="117"/>
        <v>0</v>
      </c>
      <c r="Z53" s="133">
        <f t="shared" si="117"/>
        <v>0</v>
      </c>
      <c r="AA53" s="133">
        <f t="shared" si="117"/>
        <v>0</v>
      </c>
      <c r="AC53" s="133">
        <f t="shared" ref="AC53:AG53" si="118">W53</f>
        <v>0</v>
      </c>
      <c r="AD53" s="133">
        <f t="shared" si="118"/>
        <v>0</v>
      </c>
      <c r="AE53" s="133">
        <f t="shared" si="118"/>
        <v>0</v>
      </c>
      <c r="AF53" s="133">
        <f t="shared" si="118"/>
        <v>0</v>
      </c>
      <c r="AG53" s="133">
        <f t="shared" si="118"/>
        <v>0</v>
      </c>
    </row>
    <row r="54" spans="1:33" ht="15.75" customHeight="1">
      <c r="A54" s="7" t="s">
        <v>407</v>
      </c>
      <c r="B54" s="133">
        <v>25</v>
      </c>
      <c r="E54" s="133">
        <f>DPM!J21</f>
        <v>25.38</v>
      </c>
      <c r="F54" s="133">
        <f>DPM!K21</f>
        <v>29.84</v>
      </c>
      <c r="G54" s="133">
        <f>DPM!L21</f>
        <v>36.36</v>
      </c>
      <c r="H54" s="133">
        <f>DPM!M21</f>
        <v>49.6</v>
      </c>
      <c r="I54" s="133">
        <f>DPM!N21</f>
        <v>156.4</v>
      </c>
      <c r="K54" s="133">
        <f t="shared" ref="K54:O54" si="119">E54</f>
        <v>25.38</v>
      </c>
      <c r="L54" s="133">
        <f t="shared" si="119"/>
        <v>29.84</v>
      </c>
      <c r="M54" s="133">
        <f t="shared" si="119"/>
        <v>36.36</v>
      </c>
      <c r="N54" s="133">
        <f t="shared" si="119"/>
        <v>49.6</v>
      </c>
      <c r="O54" s="133">
        <f t="shared" si="119"/>
        <v>156.4</v>
      </c>
      <c r="Q54" s="133">
        <f t="shared" ref="Q54:U54" si="120">K54</f>
        <v>25.38</v>
      </c>
      <c r="R54" s="133">
        <f t="shared" si="120"/>
        <v>29.84</v>
      </c>
      <c r="S54" s="133">
        <f t="shared" si="120"/>
        <v>36.36</v>
      </c>
      <c r="T54" s="133">
        <f t="shared" si="120"/>
        <v>49.6</v>
      </c>
      <c r="U54" s="133">
        <f t="shared" si="120"/>
        <v>156.4</v>
      </c>
      <c r="W54" s="133">
        <f t="shared" ref="W54:AA54" si="121">Q54</f>
        <v>25.38</v>
      </c>
      <c r="X54" s="133">
        <f t="shared" si="121"/>
        <v>29.84</v>
      </c>
      <c r="Y54" s="133">
        <f t="shared" si="121"/>
        <v>36.36</v>
      </c>
      <c r="Z54" s="133">
        <f t="shared" si="121"/>
        <v>49.6</v>
      </c>
      <c r="AA54" s="133">
        <f t="shared" si="121"/>
        <v>156.4</v>
      </c>
      <c r="AC54" s="133">
        <f t="shared" ref="AC54:AG54" si="122">W54</f>
        <v>25.38</v>
      </c>
      <c r="AD54" s="133">
        <f t="shared" si="122"/>
        <v>29.84</v>
      </c>
      <c r="AE54" s="133">
        <f t="shared" si="122"/>
        <v>36.36</v>
      </c>
      <c r="AF54" s="133">
        <f t="shared" si="122"/>
        <v>49.6</v>
      </c>
      <c r="AG54" s="133">
        <f t="shared" si="122"/>
        <v>156.4</v>
      </c>
    </row>
    <row r="55" spans="1:33" ht="15.75" customHeight="1">
      <c r="A55" s="7" t="s">
        <v>408</v>
      </c>
      <c r="B55" s="133">
        <v>21</v>
      </c>
      <c r="E55" s="133">
        <f>DPM!J22</f>
        <v>106.6</v>
      </c>
      <c r="F55" s="133">
        <f>DPM!K22</f>
        <v>125.35</v>
      </c>
      <c r="G55" s="133">
        <f>DPM!L22</f>
        <v>152.69999999999999</v>
      </c>
      <c r="H55" s="133">
        <f>DPM!M22</f>
        <v>208.29999999999998</v>
      </c>
      <c r="I55" s="133">
        <f>DPM!N22</f>
        <v>656.9</v>
      </c>
      <c r="K55" s="133">
        <f t="shared" ref="K55:O55" si="123">E55</f>
        <v>106.6</v>
      </c>
      <c r="L55" s="133">
        <f t="shared" si="123"/>
        <v>125.35</v>
      </c>
      <c r="M55" s="133">
        <f t="shared" si="123"/>
        <v>152.69999999999999</v>
      </c>
      <c r="N55" s="133">
        <f t="shared" si="123"/>
        <v>208.29999999999998</v>
      </c>
      <c r="O55" s="133">
        <f t="shared" si="123"/>
        <v>656.9</v>
      </c>
      <c r="Q55" s="133">
        <f t="shared" ref="Q55:U55" si="124">K55</f>
        <v>106.6</v>
      </c>
      <c r="R55" s="133">
        <f t="shared" si="124"/>
        <v>125.35</v>
      </c>
      <c r="S55" s="133">
        <f t="shared" si="124"/>
        <v>152.69999999999999</v>
      </c>
      <c r="T55" s="133">
        <f t="shared" si="124"/>
        <v>208.29999999999998</v>
      </c>
      <c r="U55" s="133">
        <f t="shared" si="124"/>
        <v>656.9</v>
      </c>
      <c r="W55" s="133">
        <f t="shared" ref="W55:AA55" si="125">Q55</f>
        <v>106.6</v>
      </c>
      <c r="X55" s="133">
        <f t="shared" si="125"/>
        <v>125.35</v>
      </c>
      <c r="Y55" s="133">
        <f t="shared" si="125"/>
        <v>152.69999999999999</v>
      </c>
      <c r="Z55" s="133">
        <f t="shared" si="125"/>
        <v>208.29999999999998</v>
      </c>
      <c r="AA55" s="133">
        <f t="shared" si="125"/>
        <v>656.9</v>
      </c>
      <c r="AC55" s="133">
        <f t="shared" ref="AC55:AG55" si="126">W55</f>
        <v>106.6</v>
      </c>
      <c r="AD55" s="133">
        <f t="shared" si="126"/>
        <v>125.35</v>
      </c>
      <c r="AE55" s="133">
        <f t="shared" si="126"/>
        <v>152.69999999999999</v>
      </c>
      <c r="AF55" s="133">
        <f t="shared" si="126"/>
        <v>208.29999999999998</v>
      </c>
      <c r="AG55" s="133">
        <f t="shared" si="126"/>
        <v>656.9</v>
      </c>
    </row>
    <row r="56" spans="1:33" ht="15.75" customHeight="1">
      <c r="A56" s="7" t="s">
        <v>409</v>
      </c>
      <c r="B56" s="133">
        <v>18</v>
      </c>
      <c r="E56" s="133">
        <f>DPM!J23</f>
        <v>182.7</v>
      </c>
      <c r="F56" s="133">
        <f>DPM!K23</f>
        <v>214.8</v>
      </c>
      <c r="G56" s="133">
        <f>DPM!L23</f>
        <v>261.8</v>
      </c>
      <c r="H56" s="133">
        <f>DPM!M23</f>
        <v>357.1</v>
      </c>
      <c r="I56" s="133">
        <f>DPM!N23</f>
        <v>1126.0999999999999</v>
      </c>
      <c r="K56" s="133">
        <f t="shared" ref="K56:O56" si="127">E56</f>
        <v>182.7</v>
      </c>
      <c r="L56" s="133">
        <f t="shared" si="127"/>
        <v>214.8</v>
      </c>
      <c r="M56" s="133">
        <f t="shared" si="127"/>
        <v>261.8</v>
      </c>
      <c r="N56" s="133">
        <f t="shared" si="127"/>
        <v>357.1</v>
      </c>
      <c r="O56" s="133">
        <f t="shared" si="127"/>
        <v>1126.0999999999999</v>
      </c>
      <c r="Q56" s="133">
        <f t="shared" ref="Q56:U56" si="128">K56</f>
        <v>182.7</v>
      </c>
      <c r="R56" s="133">
        <f t="shared" si="128"/>
        <v>214.8</v>
      </c>
      <c r="S56" s="133">
        <f t="shared" si="128"/>
        <v>261.8</v>
      </c>
      <c r="T56" s="133">
        <f t="shared" si="128"/>
        <v>357.1</v>
      </c>
      <c r="U56" s="133">
        <f t="shared" si="128"/>
        <v>1126.0999999999999</v>
      </c>
      <c r="W56" s="133">
        <f t="shared" ref="W56:AA56" si="129">Q56</f>
        <v>182.7</v>
      </c>
      <c r="X56" s="133">
        <f t="shared" si="129"/>
        <v>214.8</v>
      </c>
      <c r="Y56" s="133">
        <f t="shared" si="129"/>
        <v>261.8</v>
      </c>
      <c r="Z56" s="133">
        <f t="shared" si="129"/>
        <v>357.1</v>
      </c>
      <c r="AA56" s="133">
        <f t="shared" si="129"/>
        <v>1126.0999999999999</v>
      </c>
      <c r="AC56" s="133">
        <f t="shared" ref="AC56:AG56" si="130">W56</f>
        <v>182.7</v>
      </c>
      <c r="AD56" s="133">
        <f t="shared" si="130"/>
        <v>214.8</v>
      </c>
      <c r="AE56" s="133">
        <f t="shared" si="130"/>
        <v>261.8</v>
      </c>
      <c r="AF56" s="133">
        <f t="shared" si="130"/>
        <v>357.1</v>
      </c>
      <c r="AG56" s="133">
        <f t="shared" si="130"/>
        <v>1126.0999999999999</v>
      </c>
    </row>
    <row r="57" spans="1:33" ht="15.75" customHeight="1">
      <c r="A57" s="7" t="s">
        <v>410</v>
      </c>
      <c r="B57" s="133">
        <v>15</v>
      </c>
      <c r="E57" s="133">
        <f>DPM!J24</f>
        <v>380.75</v>
      </c>
      <c r="F57" s="133">
        <f>DPM!K24</f>
        <v>447.49999999999994</v>
      </c>
      <c r="G57" s="133">
        <f>DPM!L24</f>
        <v>545.5</v>
      </c>
      <c r="H57" s="133">
        <f>DPM!M24</f>
        <v>744</v>
      </c>
      <c r="I57" s="133">
        <f>DPM!N24</f>
        <v>2346</v>
      </c>
      <c r="K57" s="133">
        <f t="shared" ref="K57:O57" si="131">E57</f>
        <v>380.75</v>
      </c>
      <c r="L57" s="133">
        <f t="shared" si="131"/>
        <v>447.49999999999994</v>
      </c>
      <c r="M57" s="133">
        <f t="shared" si="131"/>
        <v>545.5</v>
      </c>
      <c r="N57" s="133">
        <f t="shared" si="131"/>
        <v>744</v>
      </c>
      <c r="O57" s="133">
        <f t="shared" si="131"/>
        <v>2346</v>
      </c>
      <c r="Q57" s="133">
        <f t="shared" ref="Q57:U57" si="132">K57</f>
        <v>380.75</v>
      </c>
      <c r="R57" s="133">
        <f t="shared" si="132"/>
        <v>447.49999999999994</v>
      </c>
      <c r="S57" s="133">
        <f t="shared" si="132"/>
        <v>545.5</v>
      </c>
      <c r="T57" s="133">
        <f t="shared" si="132"/>
        <v>744</v>
      </c>
      <c r="U57" s="133">
        <f t="shared" si="132"/>
        <v>2346</v>
      </c>
      <c r="W57" s="133">
        <f t="shared" ref="W57:AA57" si="133">Q57</f>
        <v>380.75</v>
      </c>
      <c r="X57" s="133">
        <f t="shared" si="133"/>
        <v>447.49999999999994</v>
      </c>
      <c r="Y57" s="133">
        <f t="shared" si="133"/>
        <v>545.5</v>
      </c>
      <c r="Z57" s="133">
        <f t="shared" si="133"/>
        <v>744</v>
      </c>
      <c r="AA57" s="133">
        <f t="shared" si="133"/>
        <v>2346</v>
      </c>
      <c r="AC57" s="133">
        <f t="shared" ref="AC57:AG57" si="134">W57</f>
        <v>380.75</v>
      </c>
      <c r="AD57" s="133">
        <f t="shared" si="134"/>
        <v>447.49999999999994</v>
      </c>
      <c r="AE57" s="133">
        <f t="shared" si="134"/>
        <v>545.5</v>
      </c>
      <c r="AF57" s="133">
        <f t="shared" si="134"/>
        <v>744</v>
      </c>
      <c r="AG57" s="133">
        <f t="shared" si="134"/>
        <v>2346</v>
      </c>
    </row>
    <row r="58" spans="1:33" ht="15.75" customHeight="1">
      <c r="A58" s="7" t="s">
        <v>411</v>
      </c>
      <c r="B58" s="133">
        <v>11</v>
      </c>
      <c r="E58" s="133">
        <f>DPM!J25</f>
        <v>558.5</v>
      </c>
      <c r="F58" s="133">
        <f>DPM!K25</f>
        <v>656.5</v>
      </c>
      <c r="G58" s="133">
        <f>DPM!L25</f>
        <v>800</v>
      </c>
      <c r="H58" s="133">
        <f>DPM!M25</f>
        <v>1091</v>
      </c>
      <c r="I58" s="133">
        <f>DPM!N25</f>
        <v>3440.9999999999995</v>
      </c>
      <c r="K58" s="133">
        <f t="shared" ref="K58:O58" si="135">E58</f>
        <v>558.5</v>
      </c>
      <c r="L58" s="133">
        <f t="shared" si="135"/>
        <v>656.5</v>
      </c>
      <c r="M58" s="133">
        <f t="shared" si="135"/>
        <v>800</v>
      </c>
      <c r="N58" s="133">
        <f t="shared" si="135"/>
        <v>1091</v>
      </c>
      <c r="O58" s="133">
        <f t="shared" si="135"/>
        <v>3440.9999999999995</v>
      </c>
      <c r="Q58" s="133">
        <f t="shared" ref="Q58:U58" si="136">K58</f>
        <v>558.5</v>
      </c>
      <c r="R58" s="133">
        <f t="shared" si="136"/>
        <v>656.5</v>
      </c>
      <c r="S58" s="133">
        <f t="shared" si="136"/>
        <v>800</v>
      </c>
      <c r="T58" s="133">
        <f t="shared" si="136"/>
        <v>1091</v>
      </c>
      <c r="U58" s="133">
        <f t="shared" si="136"/>
        <v>3440.9999999999995</v>
      </c>
      <c r="W58" s="133">
        <f t="shared" ref="W58:AA58" si="137">Q58</f>
        <v>558.5</v>
      </c>
      <c r="X58" s="133">
        <f t="shared" si="137"/>
        <v>656.5</v>
      </c>
      <c r="Y58" s="133">
        <f t="shared" si="137"/>
        <v>800</v>
      </c>
      <c r="Z58" s="133">
        <f t="shared" si="137"/>
        <v>1091</v>
      </c>
      <c r="AA58" s="133">
        <f t="shared" si="137"/>
        <v>3440.9999999999995</v>
      </c>
      <c r="AC58" s="133">
        <f t="shared" ref="AC58:AG58" si="138">W58</f>
        <v>558.5</v>
      </c>
      <c r="AD58" s="133">
        <f t="shared" si="138"/>
        <v>656.5</v>
      </c>
      <c r="AE58" s="133">
        <f t="shared" si="138"/>
        <v>800</v>
      </c>
      <c r="AF58" s="133">
        <f t="shared" si="138"/>
        <v>1091</v>
      </c>
      <c r="AG58" s="133">
        <f t="shared" si="138"/>
        <v>3440.9999999999995</v>
      </c>
    </row>
    <row r="59" spans="1:33" ht="15.75" customHeight="1">
      <c r="A59" s="7" t="s">
        <v>412</v>
      </c>
      <c r="B59" s="133">
        <v>8</v>
      </c>
      <c r="E59" s="133">
        <f>DPM!J26</f>
        <v>1217.9999999999998</v>
      </c>
      <c r="F59" s="133">
        <f>DPM!K26</f>
        <v>1432.5</v>
      </c>
      <c r="G59" s="133">
        <f>DPM!L26</f>
        <v>1746</v>
      </c>
      <c r="H59" s="133">
        <f>DPM!M26</f>
        <v>2380.5</v>
      </c>
      <c r="I59" s="133">
        <f>DPM!N26</f>
        <v>7507.5</v>
      </c>
      <c r="K59" s="133">
        <f t="shared" ref="K59:O59" si="139">E59</f>
        <v>1217.9999999999998</v>
      </c>
      <c r="L59" s="133">
        <f t="shared" si="139"/>
        <v>1432.5</v>
      </c>
      <c r="M59" s="133">
        <f t="shared" si="139"/>
        <v>1746</v>
      </c>
      <c r="N59" s="133">
        <f t="shared" si="139"/>
        <v>2380.5</v>
      </c>
      <c r="O59" s="133">
        <f t="shared" si="139"/>
        <v>7507.5</v>
      </c>
      <c r="Q59" s="133">
        <f t="shared" ref="Q59:U59" si="140">K59</f>
        <v>1217.9999999999998</v>
      </c>
      <c r="R59" s="133">
        <f t="shared" si="140"/>
        <v>1432.5</v>
      </c>
      <c r="S59" s="133">
        <f t="shared" si="140"/>
        <v>1746</v>
      </c>
      <c r="T59" s="133">
        <f t="shared" si="140"/>
        <v>2380.5</v>
      </c>
      <c r="U59" s="133">
        <f t="shared" si="140"/>
        <v>7507.5</v>
      </c>
      <c r="W59" s="133">
        <f t="shared" ref="W59:AA59" si="141">Q59</f>
        <v>1217.9999999999998</v>
      </c>
      <c r="X59" s="133">
        <f t="shared" si="141"/>
        <v>1432.5</v>
      </c>
      <c r="Y59" s="133">
        <f t="shared" si="141"/>
        <v>1746</v>
      </c>
      <c r="Z59" s="133">
        <f t="shared" si="141"/>
        <v>2380.5</v>
      </c>
      <c r="AA59" s="133">
        <f t="shared" si="141"/>
        <v>7507.5</v>
      </c>
      <c r="AC59" s="133">
        <f t="shared" ref="AC59:AG59" si="142">W59</f>
        <v>1217.9999999999998</v>
      </c>
      <c r="AD59" s="133">
        <f t="shared" si="142"/>
        <v>1432.5</v>
      </c>
      <c r="AE59" s="133">
        <f t="shared" si="142"/>
        <v>1746</v>
      </c>
      <c r="AF59" s="133">
        <f t="shared" si="142"/>
        <v>2380.5</v>
      </c>
      <c r="AG59" s="133">
        <f t="shared" si="142"/>
        <v>7507.5</v>
      </c>
    </row>
    <row r="60" spans="1:33" ht="15.75" customHeight="1">
      <c r="A60" s="7" t="s">
        <v>413</v>
      </c>
      <c r="B60" s="133">
        <v>5</v>
      </c>
      <c r="E60" s="133">
        <f>DPM!J27</f>
        <v>1524</v>
      </c>
      <c r="F60" s="133">
        <f>DPM!K27</f>
        <v>1791</v>
      </c>
      <c r="G60" s="133">
        <f>DPM!L27</f>
        <v>2181</v>
      </c>
      <c r="H60" s="133">
        <f>DPM!M27</f>
        <v>2976</v>
      </c>
      <c r="I60" s="133">
        <f>DPM!N27</f>
        <v>9384</v>
      </c>
      <c r="K60" s="133">
        <f t="shared" ref="K60:O60" si="143">E60</f>
        <v>1524</v>
      </c>
      <c r="L60" s="133">
        <f t="shared" si="143"/>
        <v>1791</v>
      </c>
      <c r="M60" s="133">
        <f t="shared" si="143"/>
        <v>2181</v>
      </c>
      <c r="N60" s="133">
        <f t="shared" si="143"/>
        <v>2976</v>
      </c>
      <c r="O60" s="133">
        <f t="shared" si="143"/>
        <v>9384</v>
      </c>
      <c r="Q60" s="133">
        <f t="shared" ref="Q60:U60" si="144">K60</f>
        <v>1524</v>
      </c>
      <c r="R60" s="133">
        <f t="shared" si="144"/>
        <v>1791</v>
      </c>
      <c r="S60" s="133">
        <f t="shared" si="144"/>
        <v>2181</v>
      </c>
      <c r="T60" s="133">
        <f t="shared" si="144"/>
        <v>2976</v>
      </c>
      <c r="U60" s="133">
        <f t="shared" si="144"/>
        <v>9384</v>
      </c>
      <c r="W60" s="133">
        <f t="shared" ref="W60:AA60" si="145">Q60</f>
        <v>1524</v>
      </c>
      <c r="X60" s="133">
        <f t="shared" si="145"/>
        <v>1791</v>
      </c>
      <c r="Y60" s="133">
        <f t="shared" si="145"/>
        <v>2181</v>
      </c>
      <c r="Z60" s="133">
        <f t="shared" si="145"/>
        <v>2976</v>
      </c>
      <c r="AA60" s="133">
        <f t="shared" si="145"/>
        <v>9384</v>
      </c>
      <c r="AC60" s="133">
        <f t="shared" ref="AC60:AG60" si="146">W60</f>
        <v>1524</v>
      </c>
      <c r="AD60" s="133">
        <f t="shared" si="146"/>
        <v>1791</v>
      </c>
      <c r="AE60" s="133">
        <f t="shared" si="146"/>
        <v>2181</v>
      </c>
      <c r="AF60" s="133">
        <f t="shared" si="146"/>
        <v>2976</v>
      </c>
      <c r="AG60" s="133">
        <f t="shared" si="146"/>
        <v>9384</v>
      </c>
    </row>
    <row r="61" spans="1:33" ht="15.75" customHeight="1">
      <c r="B61" s="7" t="s">
        <v>208</v>
      </c>
      <c r="E61" s="133">
        <f>DPM!J28</f>
        <v>3995.9299999999994</v>
      </c>
      <c r="F61" s="133">
        <f>DPM!K28</f>
        <v>4697.49</v>
      </c>
      <c r="G61" s="133">
        <f>DPM!L28</f>
        <v>5723.3600000000006</v>
      </c>
      <c r="H61" s="133">
        <f>DPM!M28</f>
        <v>7806.5</v>
      </c>
      <c r="I61" s="133">
        <f>DPM!N28</f>
        <v>24617.9</v>
      </c>
      <c r="K61" s="133">
        <f t="shared" ref="K61:O61" si="147">E61</f>
        <v>3995.9299999999994</v>
      </c>
      <c r="L61" s="133">
        <f t="shared" si="147"/>
        <v>4697.49</v>
      </c>
      <c r="M61" s="133">
        <f t="shared" si="147"/>
        <v>5723.3600000000006</v>
      </c>
      <c r="N61" s="133">
        <f t="shared" si="147"/>
        <v>7806.5</v>
      </c>
      <c r="O61" s="133">
        <f t="shared" si="147"/>
        <v>24617.9</v>
      </c>
      <c r="Q61" s="133">
        <f t="shared" ref="Q61:U61" si="148">K61</f>
        <v>3995.9299999999994</v>
      </c>
      <c r="R61" s="133">
        <f t="shared" si="148"/>
        <v>4697.49</v>
      </c>
      <c r="S61" s="133">
        <f t="shared" si="148"/>
        <v>5723.3600000000006</v>
      </c>
      <c r="T61" s="133">
        <f t="shared" si="148"/>
        <v>7806.5</v>
      </c>
      <c r="U61" s="133">
        <f t="shared" si="148"/>
        <v>24617.9</v>
      </c>
      <c r="W61" s="133">
        <f t="shared" ref="W61:AA61" si="149">Q61</f>
        <v>3995.9299999999994</v>
      </c>
      <c r="X61" s="133">
        <f t="shared" si="149"/>
        <v>4697.49</v>
      </c>
      <c r="Y61" s="133">
        <f t="shared" si="149"/>
        <v>5723.3600000000006</v>
      </c>
      <c r="Z61" s="133">
        <f t="shared" si="149"/>
        <v>7806.5</v>
      </c>
      <c r="AA61" s="133">
        <f t="shared" si="149"/>
        <v>24617.9</v>
      </c>
      <c r="AC61" s="133">
        <f t="shared" ref="AC61:AG61" si="150">W61</f>
        <v>3995.9299999999994</v>
      </c>
      <c r="AD61" s="133">
        <f t="shared" si="150"/>
        <v>4697.49</v>
      </c>
      <c r="AE61" s="133">
        <f t="shared" si="150"/>
        <v>5723.3600000000006</v>
      </c>
      <c r="AF61" s="133">
        <f t="shared" si="150"/>
        <v>7806.5</v>
      </c>
      <c r="AG61" s="133">
        <f t="shared" si="150"/>
        <v>24617.9</v>
      </c>
    </row>
    <row r="62" spans="1:33" ht="15.75" customHeight="1"/>
    <row r="63" spans="1:33" ht="15.75" customHeight="1">
      <c r="A63" s="7" t="s">
        <v>481</v>
      </c>
      <c r="E63" s="133">
        <f t="shared" ref="E63:I63" si="151">E52+E61</f>
        <v>10074.029999999999</v>
      </c>
      <c r="F63" s="133">
        <f t="shared" si="151"/>
        <v>81245.39</v>
      </c>
      <c r="G63" s="133">
        <f t="shared" si="151"/>
        <v>185285.46000000002</v>
      </c>
      <c r="H63" s="133">
        <f t="shared" si="151"/>
        <v>396561.5</v>
      </c>
      <c r="I63" s="133">
        <f t="shared" si="151"/>
        <v>2100812.9</v>
      </c>
      <c r="K63" s="133">
        <f t="shared" ref="K63:O63" si="152">K52+K61</f>
        <v>10074.029999999999</v>
      </c>
      <c r="L63" s="133">
        <f t="shared" si="152"/>
        <v>81245.39</v>
      </c>
      <c r="M63" s="133">
        <f t="shared" si="152"/>
        <v>185285.46000000002</v>
      </c>
      <c r="N63" s="133">
        <f t="shared" si="152"/>
        <v>396561.5</v>
      </c>
      <c r="O63" s="133">
        <f t="shared" si="152"/>
        <v>2100812.9</v>
      </c>
      <c r="Q63" s="133">
        <f t="shared" ref="Q63:U63" si="153">Q52+Q61</f>
        <v>10074.029999999999</v>
      </c>
      <c r="R63" s="133">
        <f t="shared" si="153"/>
        <v>81245.39</v>
      </c>
      <c r="S63" s="133">
        <f t="shared" si="153"/>
        <v>185285.46000000002</v>
      </c>
      <c r="T63" s="133">
        <f t="shared" si="153"/>
        <v>396561.5</v>
      </c>
      <c r="U63" s="133">
        <f t="shared" si="153"/>
        <v>2100812.9</v>
      </c>
      <c r="W63" s="133">
        <f t="shared" ref="W63:AA63" si="154">W52+W61</f>
        <v>10074.029999999999</v>
      </c>
      <c r="X63" s="133">
        <f t="shared" si="154"/>
        <v>81245.39</v>
      </c>
      <c r="Y63" s="133">
        <f t="shared" si="154"/>
        <v>185285.46000000002</v>
      </c>
      <c r="Z63" s="133">
        <f t="shared" si="154"/>
        <v>396561.5</v>
      </c>
      <c r="AA63" s="133">
        <f t="shared" si="154"/>
        <v>2100812.9</v>
      </c>
      <c r="AC63" s="133">
        <f t="shared" ref="AC63:AG63" si="155">AC52+AC61</f>
        <v>10074.029999999999</v>
      </c>
      <c r="AD63" s="133">
        <f t="shared" si="155"/>
        <v>81245.39</v>
      </c>
      <c r="AE63" s="133">
        <f t="shared" si="155"/>
        <v>185285.46000000002</v>
      </c>
      <c r="AF63" s="133">
        <f t="shared" si="155"/>
        <v>396561.5</v>
      </c>
      <c r="AG63" s="133">
        <f t="shared" si="155"/>
        <v>2100812.9</v>
      </c>
    </row>
    <row r="64" spans="1:33" ht="15.75" customHeight="1">
      <c r="A64" s="7" t="s">
        <v>482</v>
      </c>
      <c r="E64" s="7" t="e">
        <f t="shared" ref="E64:I64" si="156">E36</f>
        <v>#REF!</v>
      </c>
      <c r="F64" s="7" t="e">
        <f t="shared" si="156"/>
        <v>#REF!</v>
      </c>
      <c r="G64" s="7" t="e">
        <f t="shared" si="156"/>
        <v>#REF!</v>
      </c>
      <c r="H64" s="7" t="e">
        <f t="shared" si="156"/>
        <v>#REF!</v>
      </c>
      <c r="I64" s="7" t="e">
        <f t="shared" si="156"/>
        <v>#REF!</v>
      </c>
      <c r="K64" s="7" t="e">
        <f t="shared" ref="K64:O64" si="157">K36</f>
        <v>#REF!</v>
      </c>
      <c r="L64" s="7" t="e">
        <f t="shared" si="157"/>
        <v>#REF!</v>
      </c>
      <c r="M64" s="7" t="e">
        <f t="shared" si="157"/>
        <v>#REF!</v>
      </c>
      <c r="N64" s="7" t="e">
        <f t="shared" si="157"/>
        <v>#REF!</v>
      </c>
      <c r="O64" s="7" t="e">
        <f t="shared" si="157"/>
        <v>#REF!</v>
      </c>
      <c r="Q64" s="7" t="e">
        <f t="shared" ref="Q64:U64" si="158">Q36</f>
        <v>#REF!</v>
      </c>
      <c r="R64" s="7" t="e">
        <f t="shared" si="158"/>
        <v>#REF!</v>
      </c>
      <c r="S64" s="7" t="e">
        <f t="shared" si="158"/>
        <v>#REF!</v>
      </c>
      <c r="T64" s="7" t="e">
        <f t="shared" si="158"/>
        <v>#REF!</v>
      </c>
      <c r="U64" s="7" t="e">
        <f t="shared" si="158"/>
        <v>#REF!</v>
      </c>
      <c r="W64" s="7" t="e">
        <f t="shared" ref="W64:AA64" si="159">W36</f>
        <v>#REF!</v>
      </c>
      <c r="X64" s="7" t="e">
        <f t="shared" si="159"/>
        <v>#REF!</v>
      </c>
      <c r="Y64" s="7" t="e">
        <f t="shared" si="159"/>
        <v>#REF!</v>
      </c>
      <c r="Z64" s="7" t="e">
        <f t="shared" si="159"/>
        <v>#REF!</v>
      </c>
      <c r="AA64" s="7" t="e">
        <f t="shared" si="159"/>
        <v>#REF!</v>
      </c>
      <c r="AC64" s="7" t="e">
        <f t="shared" ref="AC64:AG64" si="160">AC36</f>
        <v>#REF!</v>
      </c>
      <c r="AD64" s="7" t="e">
        <f t="shared" si="160"/>
        <v>#REF!</v>
      </c>
      <c r="AE64" s="7" t="e">
        <f t="shared" si="160"/>
        <v>#REF!</v>
      </c>
      <c r="AF64" s="7" t="e">
        <f t="shared" si="160"/>
        <v>#REF!</v>
      </c>
      <c r="AG64" s="7" t="e">
        <f t="shared" si="160"/>
        <v>#REF!</v>
      </c>
    </row>
    <row r="65" spans="1:33" ht="15.75" customHeight="1">
      <c r="A65" s="249" t="s">
        <v>483</v>
      </c>
      <c r="B65" s="250"/>
      <c r="C65" s="250"/>
      <c r="D65" s="250"/>
      <c r="E65" s="259" t="e">
        <f t="shared" ref="E65:I65" si="161">E63*E64</f>
        <v>#REF!</v>
      </c>
      <c r="F65" s="259" t="e">
        <f t="shared" si="161"/>
        <v>#REF!</v>
      </c>
      <c r="G65" s="259" t="e">
        <f t="shared" si="161"/>
        <v>#REF!</v>
      </c>
      <c r="H65" s="259" t="e">
        <f t="shared" si="161"/>
        <v>#REF!</v>
      </c>
      <c r="I65" s="260" t="e">
        <f t="shared" si="161"/>
        <v>#REF!</v>
      </c>
      <c r="K65" s="259" t="e">
        <f t="shared" ref="K65:O65" si="162">K63*K64</f>
        <v>#REF!</v>
      </c>
      <c r="L65" s="259" t="e">
        <f t="shared" si="162"/>
        <v>#REF!</v>
      </c>
      <c r="M65" s="259" t="e">
        <f t="shared" si="162"/>
        <v>#REF!</v>
      </c>
      <c r="N65" s="259" t="e">
        <f t="shared" si="162"/>
        <v>#REF!</v>
      </c>
      <c r="O65" s="260" t="e">
        <f t="shared" si="162"/>
        <v>#REF!</v>
      </c>
      <c r="Q65" s="259" t="e">
        <f t="shared" ref="Q65:U65" si="163">Q63*Q64</f>
        <v>#REF!</v>
      </c>
      <c r="R65" s="259" t="e">
        <f t="shared" si="163"/>
        <v>#REF!</v>
      </c>
      <c r="S65" s="259" t="e">
        <f t="shared" si="163"/>
        <v>#REF!</v>
      </c>
      <c r="T65" s="259" t="e">
        <f t="shared" si="163"/>
        <v>#REF!</v>
      </c>
      <c r="U65" s="260" t="e">
        <f t="shared" si="163"/>
        <v>#REF!</v>
      </c>
      <c r="W65" s="259" t="e">
        <f t="shared" ref="W65:AA65" si="164">W63*W64</f>
        <v>#REF!</v>
      </c>
      <c r="X65" s="259" t="e">
        <f t="shared" si="164"/>
        <v>#REF!</v>
      </c>
      <c r="Y65" s="259" t="e">
        <f t="shared" si="164"/>
        <v>#REF!</v>
      </c>
      <c r="Z65" s="259" t="e">
        <f t="shared" si="164"/>
        <v>#REF!</v>
      </c>
      <c r="AA65" s="260" t="e">
        <f t="shared" si="164"/>
        <v>#REF!</v>
      </c>
      <c r="AC65" s="259" t="e">
        <f t="shared" ref="AC65:AG65" si="165">AC63*AC64</f>
        <v>#REF!</v>
      </c>
      <c r="AD65" s="259" t="e">
        <f t="shared" si="165"/>
        <v>#REF!</v>
      </c>
      <c r="AE65" s="259" t="e">
        <f t="shared" si="165"/>
        <v>#REF!</v>
      </c>
      <c r="AF65" s="259" t="e">
        <f t="shared" si="165"/>
        <v>#REF!</v>
      </c>
      <c r="AG65" s="260" t="e">
        <f t="shared" si="165"/>
        <v>#REF!</v>
      </c>
    </row>
    <row r="66" spans="1:33" ht="15.75" customHeight="1"/>
    <row r="67" spans="1:33" ht="15.75" customHeight="1">
      <c r="A67" s="261" t="s">
        <v>484</v>
      </c>
      <c r="E67" s="262">
        <f>Assumptions!C20</f>
        <v>0</v>
      </c>
      <c r="F67" s="262">
        <f>Assumptions!E20</f>
        <v>0</v>
      </c>
      <c r="G67" s="262" t="str">
        <f>Assumptions!G20</f>
        <v>GOT</v>
      </c>
      <c r="H67" s="262" t="str">
        <f>Assumptions!I20</f>
        <v>200 box</v>
      </c>
      <c r="I67" s="262">
        <f>Assumptions!K20</f>
        <v>0</v>
      </c>
      <c r="K67" s="262">
        <f t="shared" ref="K67:O67" si="166">E67</f>
        <v>0</v>
      </c>
      <c r="L67" s="262">
        <f t="shared" si="166"/>
        <v>0</v>
      </c>
      <c r="M67" s="262" t="str">
        <f t="shared" si="166"/>
        <v>GOT</v>
      </c>
      <c r="N67" s="262" t="str">
        <f t="shared" si="166"/>
        <v>200 box</v>
      </c>
      <c r="O67" s="262">
        <f t="shared" si="166"/>
        <v>0</v>
      </c>
      <c r="Q67" s="262">
        <f t="shared" ref="Q67:U67" si="167">K67</f>
        <v>0</v>
      </c>
      <c r="R67" s="262">
        <f t="shared" si="167"/>
        <v>0</v>
      </c>
      <c r="S67" s="262" t="str">
        <f t="shared" si="167"/>
        <v>GOT</v>
      </c>
      <c r="T67" s="262" t="str">
        <f t="shared" si="167"/>
        <v>200 box</v>
      </c>
      <c r="U67" s="262">
        <f t="shared" si="167"/>
        <v>0</v>
      </c>
      <c r="W67" s="262">
        <f t="shared" ref="W67:AA67" si="168">Q67</f>
        <v>0</v>
      </c>
      <c r="X67" s="262">
        <f t="shared" si="168"/>
        <v>0</v>
      </c>
      <c r="Y67" s="262" t="str">
        <f t="shared" si="168"/>
        <v>GOT</v>
      </c>
      <c r="Z67" s="262" t="str">
        <f t="shared" si="168"/>
        <v>200 box</v>
      </c>
      <c r="AA67" s="262">
        <f t="shared" si="168"/>
        <v>0</v>
      </c>
      <c r="AC67" s="262">
        <f t="shared" ref="AC67:AG67" si="169">W67</f>
        <v>0</v>
      </c>
      <c r="AD67" s="262">
        <f t="shared" si="169"/>
        <v>0</v>
      </c>
      <c r="AE67" s="262" t="str">
        <f t="shared" si="169"/>
        <v>GOT</v>
      </c>
      <c r="AF67" s="262" t="str">
        <f t="shared" si="169"/>
        <v>200 box</v>
      </c>
      <c r="AG67" s="262">
        <f t="shared" si="169"/>
        <v>0</v>
      </c>
    </row>
    <row r="68" spans="1:33" ht="15.75" customHeight="1"/>
    <row r="69" spans="1:33" ht="15.75" customHeight="1">
      <c r="A69" s="263" t="s">
        <v>485</v>
      </c>
      <c r="B69" s="264"/>
      <c r="C69" s="264"/>
      <c r="D69" s="264"/>
      <c r="E69" s="265" t="e">
        <f t="shared" ref="E69:I69" si="170">E65*E67</f>
        <v>#REF!</v>
      </c>
      <c r="F69" s="265" t="e">
        <f t="shared" si="170"/>
        <v>#REF!</v>
      </c>
      <c r="G69" s="265" t="e">
        <f t="shared" si="170"/>
        <v>#REF!</v>
      </c>
      <c r="H69" s="265" t="e">
        <f t="shared" si="170"/>
        <v>#REF!</v>
      </c>
      <c r="I69" s="266" t="e">
        <f t="shared" si="170"/>
        <v>#REF!</v>
      </c>
      <c r="K69" s="265" t="e">
        <f t="shared" ref="K69:O69" si="171">K65*K67</f>
        <v>#REF!</v>
      </c>
      <c r="L69" s="265" t="e">
        <f t="shared" si="171"/>
        <v>#REF!</v>
      </c>
      <c r="M69" s="265" t="e">
        <f t="shared" si="171"/>
        <v>#REF!</v>
      </c>
      <c r="N69" s="265" t="e">
        <f t="shared" si="171"/>
        <v>#REF!</v>
      </c>
      <c r="O69" s="266" t="e">
        <f t="shared" si="171"/>
        <v>#REF!</v>
      </c>
      <c r="Q69" s="265" t="e">
        <f t="shared" ref="Q69:U69" si="172">Q65*Q67</f>
        <v>#REF!</v>
      </c>
      <c r="R69" s="265" t="e">
        <f t="shared" si="172"/>
        <v>#REF!</v>
      </c>
      <c r="S69" s="265" t="e">
        <f t="shared" si="172"/>
        <v>#REF!</v>
      </c>
      <c r="T69" s="265" t="e">
        <f t="shared" si="172"/>
        <v>#REF!</v>
      </c>
      <c r="U69" s="266" t="e">
        <f t="shared" si="172"/>
        <v>#REF!</v>
      </c>
      <c r="W69" s="265" t="e">
        <f t="shared" ref="W69:AA69" si="173">W65*W67</f>
        <v>#REF!</v>
      </c>
      <c r="X69" s="265" t="e">
        <f t="shared" si="173"/>
        <v>#REF!</v>
      </c>
      <c r="Y69" s="265" t="e">
        <f t="shared" si="173"/>
        <v>#REF!</v>
      </c>
      <c r="Z69" s="265" t="e">
        <f t="shared" si="173"/>
        <v>#REF!</v>
      </c>
      <c r="AA69" s="266" t="e">
        <f t="shared" si="173"/>
        <v>#REF!</v>
      </c>
      <c r="AC69" s="265" t="e">
        <f t="shared" ref="AC69:AG69" si="174">AC65*AC67</f>
        <v>#REF!</v>
      </c>
      <c r="AD69" s="265" t="e">
        <f t="shared" si="174"/>
        <v>#REF!</v>
      </c>
      <c r="AE69" s="265" t="e">
        <f t="shared" si="174"/>
        <v>#REF!</v>
      </c>
      <c r="AF69" s="265" t="e">
        <f t="shared" si="174"/>
        <v>#REF!</v>
      </c>
      <c r="AG69" s="266" t="e">
        <f t="shared" si="174"/>
        <v>#REF!</v>
      </c>
    </row>
  </sheetData>
  <mergeCells count="8">
    <mergeCell ref="AC24:AG24"/>
    <mergeCell ref="A38:J38"/>
    <mergeCell ref="A43:I43"/>
    <mergeCell ref="A1:B1"/>
    <mergeCell ref="E24:I24"/>
    <mergeCell ref="K24:O24"/>
    <mergeCell ref="Q24:U24"/>
    <mergeCell ref="W24:AA24"/>
  </mergeCells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1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2.5" defaultRowHeight="15" customHeight="1"/>
  <cols>
    <col min="1" max="1" width="14.83203125" customWidth="1"/>
    <col min="2" max="2" width="20" customWidth="1"/>
    <col min="3" max="3" width="11.1640625" customWidth="1"/>
    <col min="4" max="4" width="13.1640625" customWidth="1"/>
    <col min="5" max="5" width="13.83203125" customWidth="1"/>
    <col min="6" max="6" width="13.1640625" customWidth="1"/>
    <col min="7" max="7" width="13.5" customWidth="1"/>
    <col min="8" max="8" width="7.1640625" customWidth="1"/>
    <col min="9" max="9" width="10.83203125" customWidth="1"/>
    <col min="10" max="10" width="17.5" customWidth="1"/>
    <col min="11" max="11" width="13.5" customWidth="1"/>
    <col min="12" max="12" width="14.5" customWidth="1"/>
    <col min="13" max="13" width="13.1640625" customWidth="1"/>
    <col min="14" max="15" width="14.5" customWidth="1"/>
    <col min="16" max="26" width="10.83203125" customWidth="1"/>
  </cols>
  <sheetData>
    <row r="1" spans="1:15" ht="15.75" customHeight="1">
      <c r="A1" s="246" t="s">
        <v>486</v>
      </c>
      <c r="B1" s="246"/>
      <c r="C1" s="246" t="s">
        <v>466</v>
      </c>
      <c r="D1" s="246" t="s">
        <v>467</v>
      </c>
      <c r="E1" s="246" t="s">
        <v>468</v>
      </c>
      <c r="F1" s="246" t="s">
        <v>469</v>
      </c>
      <c r="G1" s="246" t="s">
        <v>470</v>
      </c>
      <c r="H1" s="246" t="s">
        <v>487</v>
      </c>
      <c r="I1" s="267"/>
      <c r="J1" s="267"/>
      <c r="K1" s="267"/>
      <c r="L1" s="267"/>
      <c r="M1" s="267"/>
      <c r="N1" s="267"/>
      <c r="O1" s="267"/>
    </row>
    <row r="2" spans="1:15" ht="15.75" customHeight="1">
      <c r="A2" s="267"/>
      <c r="B2" s="267"/>
      <c r="C2" s="268"/>
      <c r="D2" s="268"/>
      <c r="E2" s="268"/>
      <c r="F2" s="268"/>
      <c r="G2" s="268"/>
      <c r="H2" s="268"/>
      <c r="I2" s="269"/>
      <c r="J2" s="269"/>
      <c r="K2" s="269"/>
      <c r="L2" s="269"/>
      <c r="M2" s="269"/>
      <c r="N2" s="269"/>
      <c r="O2" s="269"/>
    </row>
    <row r="3" spans="1:15" ht="15.7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</row>
    <row r="4" spans="1:15" ht="15.7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</row>
    <row r="5" spans="1:15" ht="15.75" customHeight="1">
      <c r="A5" s="270"/>
      <c r="B5" s="270"/>
      <c r="C5" s="271">
        <v>19</v>
      </c>
      <c r="D5" s="271">
        <v>121</v>
      </c>
      <c r="E5" s="271">
        <v>142</v>
      </c>
      <c r="F5" s="271">
        <v>205</v>
      </c>
      <c r="G5" s="271">
        <v>219</v>
      </c>
      <c r="H5" s="271">
        <f>SUM(H4)</f>
        <v>0</v>
      </c>
      <c r="I5" s="270"/>
      <c r="J5" s="270"/>
      <c r="K5" s="270"/>
      <c r="L5" s="270"/>
      <c r="M5" s="270"/>
      <c r="N5" s="270"/>
      <c r="O5" s="270"/>
    </row>
    <row r="6" spans="1:15" ht="15.75" customHeight="1">
      <c r="A6" s="270"/>
      <c r="B6" s="270" t="s">
        <v>488</v>
      </c>
      <c r="C6" s="270">
        <v>0</v>
      </c>
      <c r="D6" s="270">
        <v>1</v>
      </c>
      <c r="E6" s="270">
        <v>2</v>
      </c>
      <c r="F6" s="270">
        <v>3</v>
      </c>
      <c r="G6" s="270">
        <v>15</v>
      </c>
      <c r="H6" s="270">
        <v>15</v>
      </c>
      <c r="I6" s="270"/>
      <c r="J6" s="270"/>
      <c r="K6" s="270"/>
      <c r="L6" s="270"/>
      <c r="M6" s="270"/>
      <c r="N6" s="270"/>
      <c r="O6" s="270"/>
    </row>
    <row r="7" spans="1:15" ht="15.75" customHeight="1">
      <c r="A7" s="270"/>
      <c r="B7" s="270" t="s">
        <v>489</v>
      </c>
      <c r="C7" s="270">
        <v>1</v>
      </c>
      <c r="D7" s="270">
        <v>1</v>
      </c>
      <c r="E7" s="270">
        <v>2</v>
      </c>
      <c r="F7" s="270">
        <v>3</v>
      </c>
      <c r="G7" s="270">
        <v>15</v>
      </c>
      <c r="H7" s="270">
        <v>15</v>
      </c>
      <c r="I7" s="270"/>
      <c r="J7" s="270"/>
      <c r="K7" s="270"/>
      <c r="L7" s="270"/>
      <c r="M7" s="270"/>
      <c r="N7" s="270"/>
      <c r="O7" s="270"/>
    </row>
    <row r="8" spans="1:15" ht="15.75" customHeight="1">
      <c r="A8" s="270"/>
      <c r="B8" s="272" t="s">
        <v>490</v>
      </c>
      <c r="C8" s="271">
        <f t="shared" ref="C8:G8" si="0">C6+C7</f>
        <v>1</v>
      </c>
      <c r="D8" s="271">
        <f t="shared" si="0"/>
        <v>2</v>
      </c>
      <c r="E8" s="271">
        <f t="shared" si="0"/>
        <v>4</v>
      </c>
      <c r="F8" s="271">
        <f t="shared" si="0"/>
        <v>6</v>
      </c>
      <c r="G8" s="271">
        <f t="shared" si="0"/>
        <v>30</v>
      </c>
      <c r="H8" s="270"/>
      <c r="I8" s="270"/>
      <c r="J8" s="270"/>
      <c r="K8" s="270"/>
      <c r="L8" s="270"/>
      <c r="M8" s="270"/>
      <c r="N8" s="270"/>
      <c r="O8" s="270"/>
    </row>
    <row r="9" spans="1:15" ht="15.75" customHeight="1">
      <c r="A9" s="270"/>
      <c r="B9" s="272" t="s">
        <v>491</v>
      </c>
      <c r="C9" s="273">
        <f t="shared" ref="C9:G9" si="1">C5*C8</f>
        <v>19</v>
      </c>
      <c r="D9" s="273">
        <f t="shared" si="1"/>
        <v>242</v>
      </c>
      <c r="E9" s="273">
        <f t="shared" si="1"/>
        <v>568</v>
      </c>
      <c r="F9" s="273">
        <f t="shared" si="1"/>
        <v>1230</v>
      </c>
      <c r="G9" s="273">
        <f t="shared" si="1"/>
        <v>6570</v>
      </c>
      <c r="H9" s="270"/>
      <c r="I9" s="270"/>
      <c r="J9" s="270"/>
      <c r="K9" s="270"/>
      <c r="L9" s="270"/>
      <c r="M9" s="270"/>
      <c r="N9" s="270"/>
      <c r="O9" s="270"/>
    </row>
    <row r="10" spans="1:15" ht="15.75" customHeight="1">
      <c r="A10" s="270"/>
      <c r="B10" s="270"/>
      <c r="C10" s="274"/>
      <c r="D10" s="274"/>
      <c r="E10" s="274"/>
      <c r="F10" s="275"/>
      <c r="G10" s="274"/>
      <c r="H10" s="270"/>
      <c r="I10" s="270"/>
      <c r="J10" s="270"/>
      <c r="K10" s="270"/>
      <c r="L10" s="270"/>
      <c r="M10" s="270"/>
      <c r="N10" s="270"/>
      <c r="O10" s="270"/>
    </row>
    <row r="11" spans="1:15" ht="15.75" customHeight="1">
      <c r="A11" s="1215" t="s">
        <v>492</v>
      </c>
      <c r="B11" s="1127"/>
      <c r="C11" s="1127"/>
      <c r="D11" s="1127"/>
      <c r="E11" s="1127"/>
      <c r="F11" s="1127"/>
      <c r="G11" s="1127"/>
      <c r="H11" s="1127"/>
      <c r="I11" s="1128"/>
      <c r="J11" s="246" t="s">
        <v>466</v>
      </c>
      <c r="K11" s="246" t="s">
        <v>467</v>
      </c>
      <c r="L11" s="246" t="s">
        <v>468</v>
      </c>
      <c r="M11" s="246" t="s">
        <v>469</v>
      </c>
      <c r="N11" s="246" t="s">
        <v>470</v>
      </c>
      <c r="O11" s="270"/>
    </row>
    <row r="12" spans="1:15" ht="15.75" customHeight="1">
      <c r="A12" s="270" t="s">
        <v>493</v>
      </c>
      <c r="B12" s="133">
        <v>75</v>
      </c>
      <c r="C12" s="276">
        <f t="shared" ref="C12:G12" si="2">ROUND($B12+C9,2)</f>
        <v>94</v>
      </c>
      <c r="D12" s="276">
        <f t="shared" si="2"/>
        <v>317</v>
      </c>
      <c r="E12" s="276">
        <f t="shared" si="2"/>
        <v>643</v>
      </c>
      <c r="F12" s="276">
        <f t="shared" si="2"/>
        <v>1305</v>
      </c>
      <c r="G12" s="276">
        <f t="shared" si="2"/>
        <v>6645</v>
      </c>
      <c r="H12" s="277" t="s">
        <v>494</v>
      </c>
      <c r="I12" s="278">
        <v>1</v>
      </c>
      <c r="J12" s="276">
        <f t="shared" ref="J12:N12" si="3">C12*$I12</f>
        <v>94</v>
      </c>
      <c r="K12" s="276">
        <f t="shared" si="3"/>
        <v>317</v>
      </c>
      <c r="L12" s="276">
        <f t="shared" si="3"/>
        <v>643</v>
      </c>
      <c r="M12" s="276">
        <f t="shared" si="3"/>
        <v>1305</v>
      </c>
      <c r="N12" s="276">
        <f t="shared" si="3"/>
        <v>6645</v>
      </c>
      <c r="O12" s="270"/>
    </row>
    <row r="13" spans="1:15" ht="15.75" customHeight="1">
      <c r="A13" s="270" t="s">
        <v>495</v>
      </c>
      <c r="B13" s="133">
        <v>70</v>
      </c>
      <c r="C13" s="276">
        <f t="shared" ref="C13:G13" si="4">ROUND(($B13/$B12)*C9,2)</f>
        <v>17.73</v>
      </c>
      <c r="D13" s="276">
        <f t="shared" si="4"/>
        <v>225.87</v>
      </c>
      <c r="E13" s="276">
        <f t="shared" si="4"/>
        <v>530.13</v>
      </c>
      <c r="F13" s="276">
        <f t="shared" si="4"/>
        <v>1148</v>
      </c>
      <c r="G13" s="276">
        <f t="shared" si="4"/>
        <v>6132</v>
      </c>
      <c r="H13" s="277" t="s">
        <v>494</v>
      </c>
      <c r="I13" s="278">
        <v>5</v>
      </c>
      <c r="J13" s="276">
        <f t="shared" ref="J13:N13" si="5">C13*$I13</f>
        <v>88.65</v>
      </c>
      <c r="K13" s="276">
        <f t="shared" si="5"/>
        <v>1129.3499999999999</v>
      </c>
      <c r="L13" s="276">
        <f t="shared" si="5"/>
        <v>2650.65</v>
      </c>
      <c r="M13" s="276">
        <f t="shared" si="5"/>
        <v>5740</v>
      </c>
      <c r="N13" s="276">
        <f t="shared" si="5"/>
        <v>30660</v>
      </c>
      <c r="O13" s="270"/>
    </row>
    <row r="14" spans="1:15" ht="15.75" customHeight="1">
      <c r="A14" s="270" t="s">
        <v>496</v>
      </c>
      <c r="B14" s="133">
        <v>65</v>
      </c>
      <c r="C14" s="276">
        <f t="shared" ref="C14:G14" si="6">ROUND(($B14/$B$12)*C$9,2)</f>
        <v>16.47</v>
      </c>
      <c r="D14" s="276">
        <f t="shared" si="6"/>
        <v>209.73</v>
      </c>
      <c r="E14" s="276">
        <f t="shared" si="6"/>
        <v>492.27</v>
      </c>
      <c r="F14" s="276">
        <f t="shared" si="6"/>
        <v>1066</v>
      </c>
      <c r="G14" s="276">
        <f t="shared" si="6"/>
        <v>5694</v>
      </c>
      <c r="H14" s="277" t="s">
        <v>494</v>
      </c>
      <c r="I14" s="278">
        <v>10</v>
      </c>
      <c r="J14" s="276">
        <f t="shared" ref="J14:N14" si="7">C14*$I14</f>
        <v>164.7</v>
      </c>
      <c r="K14" s="276">
        <f t="shared" si="7"/>
        <v>2097.2999999999997</v>
      </c>
      <c r="L14" s="276">
        <f t="shared" si="7"/>
        <v>4922.7</v>
      </c>
      <c r="M14" s="276">
        <f t="shared" si="7"/>
        <v>10660</v>
      </c>
      <c r="N14" s="276">
        <f t="shared" si="7"/>
        <v>56940</v>
      </c>
      <c r="O14" s="270"/>
    </row>
    <row r="15" spans="1:15" ht="15.75" customHeight="1">
      <c r="A15" s="270" t="s">
        <v>497</v>
      </c>
      <c r="B15" s="133">
        <v>55</v>
      </c>
      <c r="C15" s="276">
        <f t="shared" ref="C15:G15" si="8">ROUND(($B15/$B$12)*C$9,2)</f>
        <v>13.93</v>
      </c>
      <c r="D15" s="276">
        <f t="shared" si="8"/>
        <v>177.47</v>
      </c>
      <c r="E15" s="276">
        <f t="shared" si="8"/>
        <v>416.53</v>
      </c>
      <c r="F15" s="276">
        <f t="shared" si="8"/>
        <v>902</v>
      </c>
      <c r="G15" s="276">
        <f t="shared" si="8"/>
        <v>4818</v>
      </c>
      <c r="H15" s="277" t="s">
        <v>494</v>
      </c>
      <c r="I15" s="278">
        <v>25</v>
      </c>
      <c r="J15" s="276">
        <f t="shared" ref="J15:N15" si="9">C15*$I15</f>
        <v>348.25</v>
      </c>
      <c r="K15" s="276">
        <f t="shared" si="9"/>
        <v>4436.75</v>
      </c>
      <c r="L15" s="276">
        <f t="shared" si="9"/>
        <v>10413.25</v>
      </c>
      <c r="M15" s="276">
        <f t="shared" si="9"/>
        <v>22550</v>
      </c>
      <c r="N15" s="276">
        <f t="shared" si="9"/>
        <v>120450</v>
      </c>
      <c r="O15" s="270"/>
    </row>
    <row r="16" spans="1:15" ht="15.75" customHeight="1">
      <c r="A16" s="270" t="s">
        <v>498</v>
      </c>
      <c r="B16" s="133">
        <v>50</v>
      </c>
      <c r="C16" s="276">
        <f t="shared" ref="C16:G16" si="10">ROUND(($B16/$B$12)*C$9,2)</f>
        <v>12.67</v>
      </c>
      <c r="D16" s="276">
        <f t="shared" si="10"/>
        <v>161.33000000000001</v>
      </c>
      <c r="E16" s="276">
        <f t="shared" si="10"/>
        <v>378.67</v>
      </c>
      <c r="F16" s="276">
        <f t="shared" si="10"/>
        <v>820</v>
      </c>
      <c r="G16" s="276">
        <f t="shared" si="10"/>
        <v>4380</v>
      </c>
      <c r="H16" s="277" t="s">
        <v>494</v>
      </c>
      <c r="I16" s="278">
        <v>50</v>
      </c>
      <c r="J16" s="276">
        <f t="shared" ref="J16:N16" si="11">C16*$I16</f>
        <v>633.5</v>
      </c>
      <c r="K16" s="276">
        <f t="shared" si="11"/>
        <v>8066.5000000000009</v>
      </c>
      <c r="L16" s="276">
        <f t="shared" si="11"/>
        <v>18933.5</v>
      </c>
      <c r="M16" s="276">
        <f t="shared" si="11"/>
        <v>41000</v>
      </c>
      <c r="N16" s="276">
        <f t="shared" si="11"/>
        <v>219000</v>
      </c>
      <c r="O16" s="270"/>
    </row>
    <row r="17" spans="1:15" ht="15.75" customHeight="1">
      <c r="A17" s="270" t="s">
        <v>499</v>
      </c>
      <c r="B17" s="133">
        <v>45</v>
      </c>
      <c r="C17" s="276">
        <f t="shared" ref="C17:G17" si="12">ROUND(($B17/$B$12)*C$9,2)</f>
        <v>11.4</v>
      </c>
      <c r="D17" s="276">
        <f t="shared" si="12"/>
        <v>145.19999999999999</v>
      </c>
      <c r="E17" s="276">
        <f t="shared" si="12"/>
        <v>340.8</v>
      </c>
      <c r="F17" s="276">
        <f t="shared" si="12"/>
        <v>738</v>
      </c>
      <c r="G17" s="276">
        <f t="shared" si="12"/>
        <v>3942</v>
      </c>
      <c r="H17" s="277" t="s">
        <v>494</v>
      </c>
      <c r="I17" s="278">
        <v>150</v>
      </c>
      <c r="J17" s="276">
        <f t="shared" ref="J17:N17" si="13">C17*$I17</f>
        <v>1710</v>
      </c>
      <c r="K17" s="276">
        <f t="shared" si="13"/>
        <v>21780</v>
      </c>
      <c r="L17" s="276">
        <f t="shared" si="13"/>
        <v>51120</v>
      </c>
      <c r="M17" s="276">
        <f t="shared" si="13"/>
        <v>110700</v>
      </c>
      <c r="N17" s="276">
        <f t="shared" si="13"/>
        <v>591300</v>
      </c>
      <c r="O17" s="270"/>
    </row>
    <row r="18" spans="1:15" ht="15.75" customHeight="1">
      <c r="A18" s="270" t="s">
        <v>500</v>
      </c>
      <c r="B18" s="133">
        <v>40</v>
      </c>
      <c r="C18" s="276">
        <f t="shared" ref="C18:G18" si="14">ROUND(($B18/$B$12)*C$9,2)</f>
        <v>10.130000000000001</v>
      </c>
      <c r="D18" s="276">
        <f t="shared" si="14"/>
        <v>129.07</v>
      </c>
      <c r="E18" s="276">
        <f t="shared" si="14"/>
        <v>302.93</v>
      </c>
      <c r="F18" s="276">
        <f t="shared" si="14"/>
        <v>656</v>
      </c>
      <c r="G18" s="276">
        <f t="shared" si="14"/>
        <v>3504</v>
      </c>
      <c r="H18" s="277" t="s">
        <v>494</v>
      </c>
      <c r="I18" s="278">
        <v>300</v>
      </c>
      <c r="J18" s="276">
        <f t="shared" ref="J18:N18" si="15">C18*$I18</f>
        <v>3039.0000000000005</v>
      </c>
      <c r="K18" s="276">
        <f t="shared" si="15"/>
        <v>38721</v>
      </c>
      <c r="L18" s="276">
        <f t="shared" si="15"/>
        <v>90879</v>
      </c>
      <c r="M18" s="276">
        <f t="shared" si="15"/>
        <v>196800</v>
      </c>
      <c r="N18" s="276">
        <f t="shared" si="15"/>
        <v>1051200</v>
      </c>
      <c r="O18" s="270"/>
    </row>
    <row r="19" spans="1:15" ht="15.75" customHeight="1">
      <c r="A19" s="270"/>
      <c r="B19" s="270"/>
      <c r="C19" s="270"/>
      <c r="D19" s="270"/>
      <c r="E19" s="270"/>
      <c r="F19" s="270"/>
      <c r="G19" s="270"/>
      <c r="H19" s="270"/>
      <c r="I19" s="279" t="s">
        <v>208</v>
      </c>
      <c r="J19" s="273">
        <f t="shared" ref="J19:N19" si="16">SUM(J12:J18)</f>
        <v>6078.1</v>
      </c>
      <c r="K19" s="273">
        <f t="shared" si="16"/>
        <v>76547.899999999994</v>
      </c>
      <c r="L19" s="273">
        <f t="shared" si="16"/>
        <v>179562.1</v>
      </c>
      <c r="M19" s="273">
        <f t="shared" si="16"/>
        <v>388755</v>
      </c>
      <c r="N19" s="273">
        <f t="shared" si="16"/>
        <v>2076195</v>
      </c>
      <c r="O19" s="273">
        <f>SUM(J19:N19)</f>
        <v>2727138.1</v>
      </c>
    </row>
    <row r="20" spans="1:15" ht="15.75" customHeight="1">
      <c r="A20" s="270"/>
      <c r="B20" s="270"/>
      <c r="C20" s="270"/>
      <c r="D20" s="270"/>
      <c r="E20" s="270"/>
      <c r="F20" s="270"/>
      <c r="G20" s="270"/>
      <c r="H20" s="270"/>
      <c r="I20" s="270"/>
      <c r="J20" s="276"/>
      <c r="K20" s="276"/>
      <c r="L20" s="270"/>
      <c r="M20" s="270"/>
      <c r="N20" s="270"/>
      <c r="O20" s="270"/>
    </row>
    <row r="21" spans="1:15" ht="15.75" customHeight="1">
      <c r="A21" s="270" t="s">
        <v>501</v>
      </c>
      <c r="B21" s="133">
        <v>25</v>
      </c>
      <c r="C21" s="276">
        <f t="shared" ref="C21:G21" si="17">ROUND((C9*0.02)+$B21,2)</f>
        <v>25.38</v>
      </c>
      <c r="D21" s="276">
        <f t="shared" si="17"/>
        <v>29.84</v>
      </c>
      <c r="E21" s="276">
        <f t="shared" si="17"/>
        <v>36.36</v>
      </c>
      <c r="F21" s="276">
        <f t="shared" si="17"/>
        <v>49.6</v>
      </c>
      <c r="G21" s="276">
        <f t="shared" si="17"/>
        <v>156.4</v>
      </c>
      <c r="H21" s="277" t="s">
        <v>494</v>
      </c>
      <c r="I21" s="278">
        <v>1</v>
      </c>
      <c r="J21" s="276">
        <f t="shared" ref="J21:N21" si="18">C21*$I21</f>
        <v>25.38</v>
      </c>
      <c r="K21" s="276">
        <f t="shared" si="18"/>
        <v>29.84</v>
      </c>
      <c r="L21" s="276">
        <f t="shared" si="18"/>
        <v>36.36</v>
      </c>
      <c r="M21" s="276">
        <f t="shared" si="18"/>
        <v>49.6</v>
      </c>
      <c r="N21" s="276">
        <f t="shared" si="18"/>
        <v>156.4</v>
      </c>
      <c r="O21" s="270"/>
    </row>
    <row r="22" spans="1:15" ht="15.75" customHeight="1">
      <c r="A22" s="270" t="s">
        <v>502</v>
      </c>
      <c r="B22" s="133">
        <v>21</v>
      </c>
      <c r="C22" s="276">
        <f t="shared" ref="C22:G22" si="19">ROUND(($B22/$B$21)*C$21,2)</f>
        <v>21.32</v>
      </c>
      <c r="D22" s="276">
        <f t="shared" si="19"/>
        <v>25.07</v>
      </c>
      <c r="E22" s="276">
        <f t="shared" si="19"/>
        <v>30.54</v>
      </c>
      <c r="F22" s="276">
        <f t="shared" si="19"/>
        <v>41.66</v>
      </c>
      <c r="G22" s="276">
        <f t="shared" si="19"/>
        <v>131.38</v>
      </c>
      <c r="H22" s="277" t="s">
        <v>494</v>
      </c>
      <c r="I22" s="278">
        <v>5</v>
      </c>
      <c r="J22" s="276">
        <f t="shared" ref="J22:N22" si="20">C22*$I22</f>
        <v>106.6</v>
      </c>
      <c r="K22" s="276">
        <f t="shared" si="20"/>
        <v>125.35</v>
      </c>
      <c r="L22" s="276">
        <f t="shared" si="20"/>
        <v>152.69999999999999</v>
      </c>
      <c r="M22" s="276">
        <f t="shared" si="20"/>
        <v>208.29999999999998</v>
      </c>
      <c r="N22" s="276">
        <f t="shared" si="20"/>
        <v>656.9</v>
      </c>
      <c r="O22" s="270"/>
    </row>
    <row r="23" spans="1:15" ht="15.75" customHeight="1">
      <c r="A23" s="270" t="s">
        <v>503</v>
      </c>
      <c r="B23" s="133">
        <v>18</v>
      </c>
      <c r="C23" s="276">
        <f t="shared" ref="C23:G23" si="21">ROUND(($B23/$B$21)*C$21,2)</f>
        <v>18.27</v>
      </c>
      <c r="D23" s="276">
        <f t="shared" si="21"/>
        <v>21.48</v>
      </c>
      <c r="E23" s="276">
        <f t="shared" si="21"/>
        <v>26.18</v>
      </c>
      <c r="F23" s="276">
        <f t="shared" si="21"/>
        <v>35.71</v>
      </c>
      <c r="G23" s="276">
        <f t="shared" si="21"/>
        <v>112.61</v>
      </c>
      <c r="H23" s="277" t="s">
        <v>494</v>
      </c>
      <c r="I23" s="278">
        <v>10</v>
      </c>
      <c r="J23" s="276">
        <f t="shared" ref="J23:N23" si="22">C23*$I23</f>
        <v>182.7</v>
      </c>
      <c r="K23" s="276">
        <f t="shared" si="22"/>
        <v>214.8</v>
      </c>
      <c r="L23" s="276">
        <f t="shared" si="22"/>
        <v>261.8</v>
      </c>
      <c r="M23" s="276">
        <f t="shared" si="22"/>
        <v>357.1</v>
      </c>
      <c r="N23" s="276">
        <f t="shared" si="22"/>
        <v>1126.0999999999999</v>
      </c>
      <c r="O23" s="270"/>
    </row>
    <row r="24" spans="1:15" ht="15.75" customHeight="1">
      <c r="A24" s="270" t="s">
        <v>504</v>
      </c>
      <c r="B24" s="133">
        <v>15</v>
      </c>
      <c r="C24" s="276">
        <f t="shared" ref="C24:G24" si="23">ROUND(($B24/$B$21)*C$21,2)</f>
        <v>15.23</v>
      </c>
      <c r="D24" s="276">
        <f t="shared" si="23"/>
        <v>17.899999999999999</v>
      </c>
      <c r="E24" s="276">
        <f t="shared" si="23"/>
        <v>21.82</v>
      </c>
      <c r="F24" s="276">
        <f t="shared" si="23"/>
        <v>29.76</v>
      </c>
      <c r="G24" s="276">
        <f t="shared" si="23"/>
        <v>93.84</v>
      </c>
      <c r="H24" s="277" t="s">
        <v>494</v>
      </c>
      <c r="I24" s="278">
        <v>25</v>
      </c>
      <c r="J24" s="276">
        <f t="shared" ref="J24:N24" si="24">C24*$I24</f>
        <v>380.75</v>
      </c>
      <c r="K24" s="276">
        <f t="shared" si="24"/>
        <v>447.49999999999994</v>
      </c>
      <c r="L24" s="276">
        <f t="shared" si="24"/>
        <v>545.5</v>
      </c>
      <c r="M24" s="276">
        <f t="shared" si="24"/>
        <v>744</v>
      </c>
      <c r="N24" s="276">
        <f t="shared" si="24"/>
        <v>2346</v>
      </c>
      <c r="O24" s="270"/>
    </row>
    <row r="25" spans="1:15" ht="15.75" customHeight="1">
      <c r="A25" s="270" t="s">
        <v>505</v>
      </c>
      <c r="B25" s="133">
        <v>11</v>
      </c>
      <c r="C25" s="276">
        <f t="shared" ref="C25:G25" si="25">ROUND(($B25/$B$21)*C$21,2)</f>
        <v>11.17</v>
      </c>
      <c r="D25" s="276">
        <f t="shared" si="25"/>
        <v>13.13</v>
      </c>
      <c r="E25" s="276">
        <f t="shared" si="25"/>
        <v>16</v>
      </c>
      <c r="F25" s="276">
        <f t="shared" si="25"/>
        <v>21.82</v>
      </c>
      <c r="G25" s="276">
        <f t="shared" si="25"/>
        <v>68.819999999999993</v>
      </c>
      <c r="H25" s="277" t="s">
        <v>494</v>
      </c>
      <c r="I25" s="278">
        <v>50</v>
      </c>
      <c r="J25" s="276">
        <f t="shared" ref="J25:N25" si="26">C25*$I25</f>
        <v>558.5</v>
      </c>
      <c r="K25" s="276">
        <f t="shared" si="26"/>
        <v>656.5</v>
      </c>
      <c r="L25" s="276">
        <f t="shared" si="26"/>
        <v>800</v>
      </c>
      <c r="M25" s="276">
        <f t="shared" si="26"/>
        <v>1091</v>
      </c>
      <c r="N25" s="276">
        <f t="shared" si="26"/>
        <v>3440.9999999999995</v>
      </c>
      <c r="O25" s="270"/>
    </row>
    <row r="26" spans="1:15" ht="15.75" customHeight="1">
      <c r="A26" s="270" t="s">
        <v>506</v>
      </c>
      <c r="B26" s="133">
        <v>8</v>
      </c>
      <c r="C26" s="276">
        <f t="shared" ref="C26:G26" si="27">ROUND(($B26/$B$21)*C$21,2)</f>
        <v>8.1199999999999992</v>
      </c>
      <c r="D26" s="276">
        <f t="shared" si="27"/>
        <v>9.5500000000000007</v>
      </c>
      <c r="E26" s="276">
        <f t="shared" si="27"/>
        <v>11.64</v>
      </c>
      <c r="F26" s="276">
        <f t="shared" si="27"/>
        <v>15.87</v>
      </c>
      <c r="G26" s="276">
        <f t="shared" si="27"/>
        <v>50.05</v>
      </c>
      <c r="H26" s="277" t="s">
        <v>494</v>
      </c>
      <c r="I26" s="278">
        <v>150</v>
      </c>
      <c r="J26" s="276">
        <f t="shared" ref="J26:N26" si="28">C26*$I26</f>
        <v>1217.9999999999998</v>
      </c>
      <c r="K26" s="276">
        <f t="shared" si="28"/>
        <v>1432.5</v>
      </c>
      <c r="L26" s="276">
        <f t="shared" si="28"/>
        <v>1746</v>
      </c>
      <c r="M26" s="276">
        <f t="shared" si="28"/>
        <v>2380.5</v>
      </c>
      <c r="N26" s="276">
        <f t="shared" si="28"/>
        <v>7507.5</v>
      </c>
      <c r="O26" s="270"/>
    </row>
    <row r="27" spans="1:15" ht="15.75" customHeight="1">
      <c r="A27" s="270" t="s">
        <v>507</v>
      </c>
      <c r="B27" s="133">
        <v>5</v>
      </c>
      <c r="C27" s="276">
        <f t="shared" ref="C27:G27" si="29">ROUND(($B27/$B$21)*C$21,2)</f>
        <v>5.08</v>
      </c>
      <c r="D27" s="276">
        <f t="shared" si="29"/>
        <v>5.97</v>
      </c>
      <c r="E27" s="276">
        <f t="shared" si="29"/>
        <v>7.27</v>
      </c>
      <c r="F27" s="276">
        <f t="shared" si="29"/>
        <v>9.92</v>
      </c>
      <c r="G27" s="276">
        <f t="shared" si="29"/>
        <v>31.28</v>
      </c>
      <c r="H27" s="277" t="s">
        <v>494</v>
      </c>
      <c r="I27" s="278">
        <v>300</v>
      </c>
      <c r="J27" s="276">
        <f t="shared" ref="J27:N27" si="30">C27*$I27</f>
        <v>1524</v>
      </c>
      <c r="K27" s="276">
        <f t="shared" si="30"/>
        <v>1791</v>
      </c>
      <c r="L27" s="276">
        <f t="shared" si="30"/>
        <v>2181</v>
      </c>
      <c r="M27" s="276">
        <f t="shared" si="30"/>
        <v>2976</v>
      </c>
      <c r="N27" s="276">
        <f t="shared" si="30"/>
        <v>9384</v>
      </c>
      <c r="O27" s="270"/>
    </row>
    <row r="28" spans="1:15" ht="15.75" customHeight="1">
      <c r="A28" s="270"/>
      <c r="B28" s="270"/>
      <c r="C28" s="270"/>
      <c r="D28" s="270"/>
      <c r="E28" s="270"/>
      <c r="F28" s="270"/>
      <c r="G28" s="270"/>
      <c r="H28" s="270"/>
      <c r="I28" s="279" t="s">
        <v>208</v>
      </c>
      <c r="J28" s="273">
        <f t="shared" ref="J28:N28" si="31">SUM(J21:J27)</f>
        <v>3995.9299999999994</v>
      </c>
      <c r="K28" s="273">
        <f t="shared" si="31"/>
        <v>4697.49</v>
      </c>
      <c r="L28" s="273">
        <f t="shared" si="31"/>
        <v>5723.3600000000006</v>
      </c>
      <c r="M28" s="273">
        <f t="shared" si="31"/>
        <v>7806.5</v>
      </c>
      <c r="N28" s="273">
        <f t="shared" si="31"/>
        <v>24617.9</v>
      </c>
      <c r="O28" s="273">
        <f>SUM(J28:N28)</f>
        <v>46841.18</v>
      </c>
    </row>
    <row r="29" spans="1:15" ht="15.75" customHeight="1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</row>
    <row r="30" spans="1:15" ht="15.75" customHeight="1">
      <c r="A30" s="270"/>
      <c r="B30" s="270"/>
      <c r="C30" s="270"/>
      <c r="D30" s="270"/>
      <c r="E30" s="270"/>
      <c r="F30" s="270"/>
      <c r="G30" s="270"/>
      <c r="H30" s="270"/>
      <c r="I30" s="279" t="s">
        <v>208</v>
      </c>
      <c r="J30" s="273">
        <f t="shared" ref="J30:N30" si="32">J19+J28</f>
        <v>10074.029999999999</v>
      </c>
      <c r="K30" s="273">
        <f t="shared" si="32"/>
        <v>81245.39</v>
      </c>
      <c r="L30" s="273">
        <f t="shared" si="32"/>
        <v>185285.46000000002</v>
      </c>
      <c r="M30" s="273">
        <f t="shared" si="32"/>
        <v>396561.5</v>
      </c>
      <c r="N30" s="273">
        <f t="shared" si="32"/>
        <v>2100812.9</v>
      </c>
      <c r="O30" s="273">
        <f>SUM(J30:N30)</f>
        <v>2773979.28</v>
      </c>
    </row>
    <row r="31" spans="1:15" ht="15.75" customHeight="1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80" t="s">
        <v>208</v>
      </c>
    </row>
  </sheetData>
  <mergeCells count="1">
    <mergeCell ref="A11:I11"/>
  </mergeCells>
  <pageMargins left="0.7" right="0.7" top="0.75" bottom="0.75" header="0" footer="0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Q2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2.5" defaultRowHeight="15" customHeight="1"/>
  <cols>
    <col min="1" max="1" width="2.1640625" customWidth="1"/>
    <col min="2" max="3" width="33.5" customWidth="1"/>
    <col min="4" max="23" width="11.5" customWidth="1"/>
    <col min="24" max="24" width="13.33203125" customWidth="1"/>
    <col min="25" max="41" width="11.5" customWidth="1"/>
    <col min="42" max="68" width="14.6640625" customWidth="1"/>
    <col min="69" max="69" width="13.5" customWidth="1"/>
    <col min="70" max="89" width="8" customWidth="1"/>
  </cols>
  <sheetData>
    <row r="1" spans="1:69" ht="12.75" customHeight="1">
      <c r="A1" s="1120" t="s">
        <v>67</v>
      </c>
      <c r="B1" s="1121"/>
      <c r="C1" s="14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62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</row>
    <row r="2" spans="1:69" ht="12.75" customHeight="1">
      <c r="A2" s="26"/>
      <c r="B2" s="1"/>
      <c r="C2" s="1"/>
      <c r="D2" s="1"/>
      <c r="E2" s="1"/>
      <c r="F2" s="1"/>
      <c r="G2" s="28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6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</row>
    <row r="3" spans="1:69" ht="12.75" customHeight="1">
      <c r="A3" s="1"/>
      <c r="B3" s="1"/>
      <c r="C3" s="1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62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</row>
    <row r="4" spans="1:69" ht="12.75" customHeight="1">
      <c r="A4" s="184"/>
      <c r="B4" s="184"/>
      <c r="C4" s="184"/>
      <c r="D4" s="185" t="s">
        <v>49</v>
      </c>
      <c r="E4" s="185" t="s">
        <v>50</v>
      </c>
      <c r="F4" s="185" t="s">
        <v>51</v>
      </c>
      <c r="G4" s="185" t="s">
        <v>52</v>
      </c>
      <c r="H4" s="185" t="s">
        <v>53</v>
      </c>
      <c r="I4" s="185" t="s">
        <v>54</v>
      </c>
      <c r="J4" s="185" t="s">
        <v>55</v>
      </c>
      <c r="K4" s="185" t="s">
        <v>56</v>
      </c>
      <c r="L4" s="185" t="s">
        <v>57</v>
      </c>
      <c r="M4" s="185" t="s">
        <v>58</v>
      </c>
      <c r="N4" s="185" t="s">
        <v>59</v>
      </c>
      <c r="O4" s="185" t="s">
        <v>60</v>
      </c>
      <c r="P4" s="186" t="s">
        <v>65</v>
      </c>
      <c r="Q4" s="185" t="s">
        <v>291</v>
      </c>
      <c r="R4" s="185" t="s">
        <v>308</v>
      </c>
      <c r="S4" s="185" t="s">
        <v>309</v>
      </c>
      <c r="T4" s="185" t="s">
        <v>310</v>
      </c>
      <c r="U4" s="185" t="s">
        <v>311</v>
      </c>
      <c r="V4" s="185" t="s">
        <v>312</v>
      </c>
      <c r="W4" s="185" t="s">
        <v>313</v>
      </c>
      <c r="X4" s="185" t="s">
        <v>314</v>
      </c>
      <c r="Y4" s="185" t="s">
        <v>315</v>
      </c>
      <c r="Z4" s="185" t="s">
        <v>316</v>
      </c>
      <c r="AA4" s="185" t="s">
        <v>317</v>
      </c>
      <c r="AB4" s="185" t="s">
        <v>318</v>
      </c>
      <c r="AC4" s="186" t="s">
        <v>121</v>
      </c>
      <c r="AD4" s="185" t="s">
        <v>319</v>
      </c>
      <c r="AE4" s="185" t="s">
        <v>320</v>
      </c>
      <c r="AF4" s="185" t="s">
        <v>321</v>
      </c>
      <c r="AG4" s="185" t="s">
        <v>322</v>
      </c>
      <c r="AH4" s="185" t="s">
        <v>323</v>
      </c>
      <c r="AI4" s="185" t="s">
        <v>324</v>
      </c>
      <c r="AJ4" s="185" t="s">
        <v>325</v>
      </c>
      <c r="AK4" s="185" t="s">
        <v>326</v>
      </c>
      <c r="AL4" s="185" t="s">
        <v>327</v>
      </c>
      <c r="AM4" s="185" t="s">
        <v>328</v>
      </c>
      <c r="AN4" s="185" t="s">
        <v>329</v>
      </c>
      <c r="AO4" s="185" t="s">
        <v>330</v>
      </c>
      <c r="AP4" s="186" t="s">
        <v>122</v>
      </c>
      <c r="AQ4" s="185" t="s">
        <v>331</v>
      </c>
      <c r="AR4" s="185" t="s">
        <v>332</v>
      </c>
      <c r="AS4" s="185" t="s">
        <v>333</v>
      </c>
      <c r="AT4" s="185" t="s">
        <v>334</v>
      </c>
      <c r="AU4" s="185" t="s">
        <v>335</v>
      </c>
      <c r="AV4" s="185" t="s">
        <v>336</v>
      </c>
      <c r="AW4" s="185" t="s">
        <v>337</v>
      </c>
      <c r="AX4" s="185" t="s">
        <v>338</v>
      </c>
      <c r="AY4" s="185" t="s">
        <v>339</v>
      </c>
      <c r="AZ4" s="185" t="s">
        <v>340</v>
      </c>
      <c r="BA4" s="185" t="s">
        <v>341</v>
      </c>
      <c r="BB4" s="185" t="s">
        <v>342</v>
      </c>
      <c r="BC4" s="186" t="s">
        <v>123</v>
      </c>
      <c r="BD4" s="185" t="s">
        <v>343</v>
      </c>
      <c r="BE4" s="185" t="s">
        <v>344</v>
      </c>
      <c r="BF4" s="185" t="s">
        <v>345</v>
      </c>
      <c r="BG4" s="185" t="s">
        <v>346</v>
      </c>
      <c r="BH4" s="185" t="s">
        <v>347</v>
      </c>
      <c r="BI4" s="185" t="s">
        <v>348</v>
      </c>
      <c r="BJ4" s="185" t="s">
        <v>349</v>
      </c>
      <c r="BK4" s="185" t="s">
        <v>350</v>
      </c>
      <c r="BL4" s="185" t="s">
        <v>351</v>
      </c>
      <c r="BM4" s="185" t="s">
        <v>352</v>
      </c>
      <c r="BN4" s="185" t="s">
        <v>353</v>
      </c>
      <c r="BO4" s="185" t="s">
        <v>354</v>
      </c>
      <c r="BP4" s="186" t="s">
        <v>124</v>
      </c>
      <c r="BQ4" s="236" t="s">
        <v>460</v>
      </c>
    </row>
    <row r="5" spans="1:69" ht="12.75" customHeight="1">
      <c r="A5" s="187"/>
      <c r="B5" s="187" t="s">
        <v>20</v>
      </c>
      <c r="C5" s="187"/>
      <c r="D5" s="188"/>
      <c r="E5" s="188"/>
      <c r="F5" s="188"/>
      <c r="G5" s="189">
        <f>'Card Rev - Leagues'!H5</f>
        <v>0.2</v>
      </c>
      <c r="H5" s="189">
        <f>'Card Rev - Leagues'!I5</f>
        <v>0.3</v>
      </c>
      <c r="I5" s="189">
        <f>'Card Rev - Leagues'!J5</f>
        <v>0.4</v>
      </c>
      <c r="J5" s="189">
        <f>'Card Rev - Leagues'!K5</f>
        <v>0.5</v>
      </c>
      <c r="K5" s="189">
        <f>'Card Rev - Leagues'!L5</f>
        <v>0.6</v>
      </c>
      <c r="L5" s="189">
        <f>'Card Rev - Leagues'!M5</f>
        <v>0.7</v>
      </c>
      <c r="M5" s="189">
        <f>'Card Rev - Leagues'!N5</f>
        <v>0.8</v>
      </c>
      <c r="N5" s="189">
        <f>'Card Rev - Leagues'!O5</f>
        <v>0.9</v>
      </c>
      <c r="O5" s="189">
        <f>'Card Rev - Leagues'!P5</f>
        <v>1</v>
      </c>
      <c r="P5" s="190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90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90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90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90"/>
      <c r="BQ5" s="237"/>
    </row>
    <row r="6" spans="1:69" ht="12.75" customHeight="1">
      <c r="A6" s="1"/>
      <c r="B6" s="162" t="s">
        <v>508</v>
      </c>
      <c r="C6" s="162"/>
      <c r="D6" s="282">
        <v>0</v>
      </c>
      <c r="E6" s="282">
        <v>0</v>
      </c>
      <c r="F6" s="282">
        <v>0</v>
      </c>
      <c r="G6" s="282" t="e">
        <f>(SUM('Card Rev - Leagues'!#REF!)+SUM('Card Rev - Brand Stars'!$E$36:$I$36))*G5</f>
        <v>#REF!</v>
      </c>
      <c r="H6" s="282" t="e">
        <f>(SUM('Card Rev - Leagues'!#REF!)+SUM('Card Rev - Brand Stars'!$E$36:$I$36))*H5</f>
        <v>#REF!</v>
      </c>
      <c r="I6" s="282" t="e">
        <f>(SUM('Card Rev - Leagues'!#REF!)+SUM('Card Rev - Brand Stars'!$E$36:$I$36))*I5</f>
        <v>#REF!</v>
      </c>
      <c r="J6" s="282" t="e">
        <f>(SUM('Card Rev - Leagues'!#REF!)+SUM('Card Rev - Brand Stars'!$E$36:$I$36))*J5</f>
        <v>#REF!</v>
      </c>
      <c r="K6" s="282" t="e">
        <f>(SUM('Card Rev - Leagues'!#REF!)+SUM('Card Rev - Brand Stars'!$E$36:$I$36))*K5</f>
        <v>#REF!</v>
      </c>
      <c r="L6" s="282" t="e">
        <f>(SUM('Card Rev - Leagues'!#REF!)+SUM('Card Rev - Brand Stars'!$E$36:$I$36))*L5</f>
        <v>#REF!</v>
      </c>
      <c r="M6" s="282" t="e">
        <f>(SUM('Card Rev - Leagues'!#REF!)+SUM('Card Rev - Brand Stars'!$E$36:$I$36))*M5</f>
        <v>#REF!</v>
      </c>
      <c r="N6" s="282" t="e">
        <f>(SUM('Card Rev - Leagues'!#REF!)+SUM('Card Rev - Brand Stars'!$E$36:$I$36))*N5</f>
        <v>#REF!</v>
      </c>
      <c r="O6" s="282" t="e">
        <f>(SUM('Card Rev - Leagues'!#REF!)+SUM('Card Rev - Brand Stars'!$E$36:$I$36))*O5</f>
        <v>#REF!</v>
      </c>
      <c r="P6" s="205" t="e">
        <f>SUM(D6:O6)</f>
        <v>#REF!</v>
      </c>
      <c r="Q6" s="282" t="e">
        <f>SUM('Card Rev - Leagues'!#REF!)+SUM('Card Rev - Brand Stars'!$E$36:$I$36)</f>
        <v>#REF!</v>
      </c>
      <c r="R6" s="282" t="e">
        <f>SUM('Card Rev - Leagues'!#REF!)+SUM('Card Rev - Brand Stars'!$E$36:$I$36)</f>
        <v>#REF!</v>
      </c>
      <c r="S6" s="282" t="e">
        <f>SUM('Card Rev - Leagues'!#REF!)+SUM('Card Rev - Brand Stars'!$E$36:$I$36)</f>
        <v>#REF!</v>
      </c>
      <c r="T6" s="282" t="e">
        <f>SUM('Card Rev - Leagues'!#REF!)+SUM('Card Rev - Brand Stars'!$E$36:$I$36)</f>
        <v>#REF!</v>
      </c>
      <c r="U6" s="282" t="e">
        <f>SUM('Card Rev - Leagues'!#REF!)+SUM('Card Rev - Brand Stars'!$E$36:$I$36)</f>
        <v>#REF!</v>
      </c>
      <c r="V6" s="282" t="e">
        <f>SUM('Card Rev - Leagues'!#REF!)+SUM('Card Rev - Brand Stars'!$E$36:$I$36)</f>
        <v>#REF!</v>
      </c>
      <c r="W6" s="282" t="e">
        <f>SUM('Card Rev - Leagues'!#REF!)+SUM('Card Rev - Brand Stars'!$E$36:$I$36)</f>
        <v>#REF!</v>
      </c>
      <c r="X6" s="282" t="e">
        <f>SUM('Card Rev - Leagues'!#REF!)+SUM('Card Rev - Brand Stars'!$E$36:$I$36)</f>
        <v>#REF!</v>
      </c>
      <c r="Y6" s="282" t="e">
        <f>SUM('Card Rev - Leagues'!#REF!)+SUM('Card Rev - Brand Stars'!$E$36:$I$36)</f>
        <v>#REF!</v>
      </c>
      <c r="Z6" s="282" t="e">
        <f>SUM('Card Rev - Leagues'!#REF!)+SUM('Card Rev - Brand Stars'!$E$36:$I$36)</f>
        <v>#REF!</v>
      </c>
      <c r="AA6" s="282" t="e">
        <f>SUM('Card Rev - Leagues'!#REF!)+SUM('Card Rev - Brand Stars'!$E$36:$I$36)</f>
        <v>#REF!</v>
      </c>
      <c r="AB6" s="282" t="e">
        <f>SUM('Card Rev - Leagues'!#REF!)+SUM('Card Rev - Brand Stars'!$E$36:$I$36)</f>
        <v>#REF!</v>
      </c>
      <c r="AC6" s="205" t="e">
        <f>SUM(Q6:AB6)</f>
        <v>#REF!</v>
      </c>
      <c r="AD6" s="282" t="e">
        <f>SUM('Card Rev - Leagues'!#REF!)+SUM('Card Rev - Brand Stars'!$E$36:$I$36)</f>
        <v>#REF!</v>
      </c>
      <c r="AE6" s="282" t="e">
        <f>SUM('Card Rev - Leagues'!#REF!)+SUM('Card Rev - Brand Stars'!$E$36:$I$36)</f>
        <v>#REF!</v>
      </c>
      <c r="AF6" s="282" t="e">
        <f>SUM('Card Rev - Leagues'!#REF!)+SUM('Card Rev - Brand Stars'!$E$36:$I$36)</f>
        <v>#REF!</v>
      </c>
      <c r="AG6" s="282" t="e">
        <f>SUM('Card Rev - Leagues'!#REF!)+SUM('Card Rev - Brand Stars'!$E$36:$I$36)</f>
        <v>#REF!</v>
      </c>
      <c r="AH6" s="282" t="e">
        <f>SUM('Card Rev - Leagues'!#REF!)+SUM('Card Rev - Brand Stars'!$E$36:$I$36)</f>
        <v>#REF!</v>
      </c>
      <c r="AI6" s="282" t="e">
        <f>SUM('Card Rev - Leagues'!#REF!)+SUM('Card Rev - Brand Stars'!$E$36:$I$36)</f>
        <v>#REF!</v>
      </c>
      <c r="AJ6" s="282" t="e">
        <f>SUM('Card Rev - Leagues'!#REF!)+SUM('Card Rev - Brand Stars'!$E$36:$I$36)</f>
        <v>#REF!</v>
      </c>
      <c r="AK6" s="282" t="e">
        <f>SUM('Card Rev - Leagues'!#REF!)+SUM('Card Rev - Brand Stars'!$E$36:$I$36)</f>
        <v>#REF!</v>
      </c>
      <c r="AL6" s="282" t="e">
        <f>SUM('Card Rev - Leagues'!#REF!)+SUM('Card Rev - Brand Stars'!$E$36:$I$36)</f>
        <v>#REF!</v>
      </c>
      <c r="AM6" s="282" t="e">
        <f>SUM('Card Rev - Leagues'!#REF!)+SUM('Card Rev - Brand Stars'!$E$36:$I$36)</f>
        <v>#REF!</v>
      </c>
      <c r="AN6" s="282" t="e">
        <f>SUM('Card Rev - Leagues'!#REF!)+SUM('Card Rev - Brand Stars'!$E$36:$I$36)</f>
        <v>#REF!</v>
      </c>
      <c r="AO6" s="282" t="e">
        <f>SUM('Card Rev - Leagues'!#REF!)+SUM('Card Rev - Brand Stars'!$E$36:$I$36)</f>
        <v>#REF!</v>
      </c>
      <c r="AP6" s="205" t="e">
        <f>SUM(AD6:AO6)</f>
        <v>#REF!</v>
      </c>
      <c r="AQ6" s="282" t="e">
        <f>SUM('Card Rev - Leagues'!#REF!)+SUM('Card Rev - Brand Stars'!$E$36:$I$36)</f>
        <v>#REF!</v>
      </c>
      <c r="AR6" s="282" t="e">
        <f>SUM('Card Rev - Leagues'!#REF!)+SUM('Card Rev - Brand Stars'!$E$36:$I$36)</f>
        <v>#REF!</v>
      </c>
      <c r="AS6" s="282" t="e">
        <f>SUM('Card Rev - Leagues'!#REF!)+SUM('Card Rev - Brand Stars'!$E$36:$I$36)</f>
        <v>#REF!</v>
      </c>
      <c r="AT6" s="282" t="e">
        <f>SUM('Card Rev - Leagues'!#REF!)+SUM('Card Rev - Brand Stars'!$E$36:$I$36)</f>
        <v>#REF!</v>
      </c>
      <c r="AU6" s="282" t="e">
        <f>SUM('Card Rev - Leagues'!#REF!)+SUM('Card Rev - Brand Stars'!$E$36:$I$36)</f>
        <v>#REF!</v>
      </c>
      <c r="AV6" s="282" t="e">
        <f>SUM('Card Rev - Leagues'!#REF!)+SUM('Card Rev - Brand Stars'!$E$36:$I$36)</f>
        <v>#REF!</v>
      </c>
      <c r="AW6" s="282" t="e">
        <f>SUM('Card Rev - Leagues'!#REF!)+SUM('Card Rev - Brand Stars'!$E$36:$I$36)</f>
        <v>#REF!</v>
      </c>
      <c r="AX6" s="282" t="e">
        <f>SUM('Card Rev - Leagues'!#REF!)+SUM('Card Rev - Brand Stars'!$E$36:$I$36)</f>
        <v>#REF!</v>
      </c>
      <c r="AY6" s="282" t="e">
        <f>SUM('Card Rev - Leagues'!#REF!)+SUM('Card Rev - Brand Stars'!$E$36:$I$36)</f>
        <v>#REF!</v>
      </c>
      <c r="AZ6" s="282" t="e">
        <f>SUM('Card Rev - Leagues'!#REF!)+SUM('Card Rev - Brand Stars'!$E$36:$I$36)</f>
        <v>#REF!</v>
      </c>
      <c r="BA6" s="282" t="e">
        <f>SUM('Card Rev - Leagues'!#REF!)+SUM('Card Rev - Brand Stars'!$E$36:$I$36)</f>
        <v>#REF!</v>
      </c>
      <c r="BB6" s="282" t="e">
        <f>SUM('Card Rev - Leagues'!#REF!)+SUM('Card Rev - Brand Stars'!$E$36:$I$36)</f>
        <v>#REF!</v>
      </c>
      <c r="BC6" s="205" t="e">
        <f>SUM(AQ6:BB6)</f>
        <v>#REF!</v>
      </c>
      <c r="BD6" s="282" t="e">
        <f>SUM('Card Rev - Leagues'!#REF!)+SUM('Card Rev - Brand Stars'!$E$36:$I$36)</f>
        <v>#REF!</v>
      </c>
      <c r="BE6" s="282" t="e">
        <f>SUM('Card Rev - Leagues'!#REF!)+SUM('Card Rev - Brand Stars'!$E$36:$I$36)</f>
        <v>#REF!</v>
      </c>
      <c r="BF6" s="282" t="e">
        <f>SUM('Card Rev - Leagues'!#REF!)+SUM('Card Rev - Brand Stars'!$E$36:$I$36)</f>
        <v>#REF!</v>
      </c>
      <c r="BG6" s="282" t="e">
        <f>SUM('Card Rev - Leagues'!#REF!)+SUM('Card Rev - Brand Stars'!$E$36:$I$36)</f>
        <v>#REF!</v>
      </c>
      <c r="BH6" s="282" t="e">
        <f>SUM('Card Rev - Leagues'!#REF!)+SUM('Card Rev - Brand Stars'!$E$36:$I$36)</f>
        <v>#REF!</v>
      </c>
      <c r="BI6" s="282" t="e">
        <f>SUM('Card Rev - Leagues'!#REF!)+SUM('Card Rev - Brand Stars'!$E$36:$I$36)</f>
        <v>#REF!</v>
      </c>
      <c r="BJ6" s="282" t="e">
        <f>SUM('Card Rev - Leagues'!#REF!)+SUM('Card Rev - Brand Stars'!$E$36:$I$36)</f>
        <v>#REF!</v>
      </c>
      <c r="BK6" s="282" t="e">
        <f>SUM('Card Rev - Leagues'!#REF!)+SUM('Card Rev - Brand Stars'!$E$36:$I$36)</f>
        <v>#REF!</v>
      </c>
      <c r="BL6" s="282" t="e">
        <f>SUM('Card Rev - Leagues'!#REF!)+SUM('Card Rev - Brand Stars'!$E$36:$I$36)</f>
        <v>#REF!</v>
      </c>
      <c r="BM6" s="282" t="e">
        <f>SUM('Card Rev - Leagues'!#REF!)+SUM('Card Rev - Brand Stars'!$E$36:$I$36)</f>
        <v>#REF!</v>
      </c>
      <c r="BN6" s="282" t="e">
        <f>SUM('Card Rev - Leagues'!#REF!)+SUM('Card Rev - Brand Stars'!$E$36:$I$36)</f>
        <v>#REF!</v>
      </c>
      <c r="BO6" s="282" t="e">
        <f>SUM('Card Rev - Leagues'!#REF!)+SUM('Card Rev - Brand Stars'!$E$36:$I$36)</f>
        <v>#REF!</v>
      </c>
      <c r="BP6" s="205" t="e">
        <f>SUM(BD6:BO6)</f>
        <v>#REF!</v>
      </c>
      <c r="BQ6" s="243" t="e">
        <f>SUM(AP6+AC6+P6+BC6+BP6)</f>
        <v>#REF!</v>
      </c>
    </row>
    <row r="7" spans="1:69" ht="12.75" customHeight="1">
      <c r="A7" s="1"/>
      <c r="B7" s="162" t="s">
        <v>509</v>
      </c>
      <c r="C7" s="162"/>
      <c r="D7" s="283">
        <f>Assumptions!$I$32</f>
        <v>0</v>
      </c>
      <c r="E7" s="283">
        <f>Assumptions!$I$32</f>
        <v>0</v>
      </c>
      <c r="F7" s="283">
        <f>Assumptions!$I$32</f>
        <v>0</v>
      </c>
      <c r="G7" s="283">
        <f>Assumptions!$I$32</f>
        <v>0</v>
      </c>
      <c r="H7" s="283">
        <f>Assumptions!$I$32</f>
        <v>0</v>
      </c>
      <c r="I7" s="283">
        <f>Assumptions!$I$32</f>
        <v>0</v>
      </c>
      <c r="J7" s="283">
        <f>Assumptions!$I$32</f>
        <v>0</v>
      </c>
      <c r="K7" s="283">
        <f>Assumptions!$I$32</f>
        <v>0</v>
      </c>
      <c r="L7" s="283">
        <f>Assumptions!$I$32</f>
        <v>0</v>
      </c>
      <c r="M7" s="283">
        <f>Assumptions!$I$32</f>
        <v>0</v>
      </c>
      <c r="N7" s="283">
        <f>Assumptions!$I$32</f>
        <v>0</v>
      </c>
      <c r="O7" s="283">
        <f>Assumptions!$I$32</f>
        <v>0</v>
      </c>
      <c r="P7" s="284">
        <f>Assumptions!$I$32</f>
        <v>0</v>
      </c>
      <c r="Q7" s="283">
        <f>Assumptions!$I$32</f>
        <v>0</v>
      </c>
      <c r="R7" s="283">
        <f>Assumptions!$I$32</f>
        <v>0</v>
      </c>
      <c r="S7" s="283">
        <f>Assumptions!$I$32</f>
        <v>0</v>
      </c>
      <c r="T7" s="283">
        <f>Assumptions!$I$32</f>
        <v>0</v>
      </c>
      <c r="U7" s="283">
        <f>Assumptions!$I$32</f>
        <v>0</v>
      </c>
      <c r="V7" s="283">
        <f>Assumptions!$I$32</f>
        <v>0</v>
      </c>
      <c r="W7" s="283">
        <f>Assumptions!$I$32</f>
        <v>0</v>
      </c>
      <c r="X7" s="283">
        <f>Assumptions!$I$32</f>
        <v>0</v>
      </c>
      <c r="Y7" s="283">
        <f>Assumptions!$I$32</f>
        <v>0</v>
      </c>
      <c r="Z7" s="283">
        <f>Assumptions!$I$32</f>
        <v>0</v>
      </c>
      <c r="AA7" s="283">
        <f>Assumptions!$I$32</f>
        <v>0</v>
      </c>
      <c r="AB7" s="283">
        <f>Assumptions!$I$32</f>
        <v>0</v>
      </c>
      <c r="AC7" s="284">
        <f>Assumptions!$I$32</f>
        <v>0</v>
      </c>
      <c r="AD7" s="283">
        <f>Assumptions!$I$32</f>
        <v>0</v>
      </c>
      <c r="AE7" s="283">
        <f>Assumptions!$I$32</f>
        <v>0</v>
      </c>
      <c r="AF7" s="283">
        <f>Assumptions!$I$32</f>
        <v>0</v>
      </c>
      <c r="AG7" s="283">
        <f>Assumptions!$I$32</f>
        <v>0</v>
      </c>
      <c r="AH7" s="283">
        <f>Assumptions!$I$32</f>
        <v>0</v>
      </c>
      <c r="AI7" s="283">
        <f>Assumptions!$I$32</f>
        <v>0</v>
      </c>
      <c r="AJ7" s="283">
        <f>Assumptions!$I$32</f>
        <v>0</v>
      </c>
      <c r="AK7" s="283">
        <f>Assumptions!$I$32</f>
        <v>0</v>
      </c>
      <c r="AL7" s="283">
        <f>Assumptions!$I$32</f>
        <v>0</v>
      </c>
      <c r="AM7" s="283">
        <f>Assumptions!$I$32</f>
        <v>0</v>
      </c>
      <c r="AN7" s="283">
        <f>Assumptions!$I$32</f>
        <v>0</v>
      </c>
      <c r="AO7" s="283">
        <f>Assumptions!$I$32</f>
        <v>0</v>
      </c>
      <c r="AP7" s="284">
        <f>Assumptions!$I$32</f>
        <v>0</v>
      </c>
      <c r="AQ7" s="283">
        <f>Assumptions!$I$32</f>
        <v>0</v>
      </c>
      <c r="AR7" s="283">
        <f>Assumptions!$I$32</f>
        <v>0</v>
      </c>
      <c r="AS7" s="283">
        <f>Assumptions!$I$32</f>
        <v>0</v>
      </c>
      <c r="AT7" s="283">
        <f>Assumptions!$I$32</f>
        <v>0</v>
      </c>
      <c r="AU7" s="283">
        <f>Assumptions!$I$32</f>
        <v>0</v>
      </c>
      <c r="AV7" s="283">
        <f>Assumptions!$I$32</f>
        <v>0</v>
      </c>
      <c r="AW7" s="283">
        <f>Assumptions!$I$32</f>
        <v>0</v>
      </c>
      <c r="AX7" s="283">
        <f>Assumptions!$I$32</f>
        <v>0</v>
      </c>
      <c r="AY7" s="283">
        <f>Assumptions!$I$32</f>
        <v>0</v>
      </c>
      <c r="AZ7" s="283">
        <f>Assumptions!$I$32</f>
        <v>0</v>
      </c>
      <c r="BA7" s="283">
        <f>Assumptions!$I$32</f>
        <v>0</v>
      </c>
      <c r="BB7" s="283">
        <f>Assumptions!$I$32</f>
        <v>0</v>
      </c>
      <c r="BC7" s="284">
        <f>Assumptions!$I$32</f>
        <v>0</v>
      </c>
      <c r="BD7" s="283">
        <f>Assumptions!$I$32</f>
        <v>0</v>
      </c>
      <c r="BE7" s="283">
        <f>Assumptions!$I$32</f>
        <v>0</v>
      </c>
      <c r="BF7" s="283">
        <f>Assumptions!$I$32</f>
        <v>0</v>
      </c>
      <c r="BG7" s="283">
        <f>Assumptions!$I$32</f>
        <v>0</v>
      </c>
      <c r="BH7" s="283">
        <f>Assumptions!$I$32</f>
        <v>0</v>
      </c>
      <c r="BI7" s="283">
        <f>Assumptions!$I$32</f>
        <v>0</v>
      </c>
      <c r="BJ7" s="283">
        <f>Assumptions!$I$32</f>
        <v>0</v>
      </c>
      <c r="BK7" s="283">
        <f>Assumptions!$I$32</f>
        <v>0</v>
      </c>
      <c r="BL7" s="283">
        <f>Assumptions!$I$32</f>
        <v>0</v>
      </c>
      <c r="BM7" s="283">
        <f>Assumptions!$I$32</f>
        <v>0</v>
      </c>
      <c r="BN7" s="283">
        <f>Assumptions!$I$32</f>
        <v>0</v>
      </c>
      <c r="BO7" s="283">
        <f>Assumptions!$I$32</f>
        <v>0</v>
      </c>
      <c r="BP7" s="284">
        <f>Assumptions!$I$32</f>
        <v>0</v>
      </c>
      <c r="BQ7" s="284">
        <f>Assumptions!$I$32</f>
        <v>0</v>
      </c>
    </row>
    <row r="8" spans="1:69" ht="12.75" customHeight="1">
      <c r="A8" s="191"/>
      <c r="B8" s="192" t="s">
        <v>70</v>
      </c>
      <c r="C8" s="193"/>
      <c r="D8" s="194">
        <f t="shared" ref="D8:O8" si="0">D6*D7</f>
        <v>0</v>
      </c>
      <c r="E8" s="194">
        <f t="shared" si="0"/>
        <v>0</v>
      </c>
      <c r="F8" s="194">
        <f t="shared" si="0"/>
        <v>0</v>
      </c>
      <c r="G8" s="194" t="e">
        <f t="shared" si="0"/>
        <v>#REF!</v>
      </c>
      <c r="H8" s="194" t="e">
        <f t="shared" si="0"/>
        <v>#REF!</v>
      </c>
      <c r="I8" s="194" t="e">
        <f t="shared" si="0"/>
        <v>#REF!</v>
      </c>
      <c r="J8" s="194" t="e">
        <f t="shared" si="0"/>
        <v>#REF!</v>
      </c>
      <c r="K8" s="194" t="e">
        <f t="shared" si="0"/>
        <v>#REF!</v>
      </c>
      <c r="L8" s="194" t="e">
        <f t="shared" si="0"/>
        <v>#REF!</v>
      </c>
      <c r="M8" s="194" t="e">
        <f t="shared" si="0"/>
        <v>#REF!</v>
      </c>
      <c r="N8" s="194" t="e">
        <f t="shared" si="0"/>
        <v>#REF!</v>
      </c>
      <c r="O8" s="194" t="e">
        <f t="shared" si="0"/>
        <v>#REF!</v>
      </c>
      <c r="P8" s="195" t="e">
        <f>SUM(D8:O8)</f>
        <v>#REF!</v>
      </c>
      <c r="Q8" s="194" t="e">
        <f t="shared" ref="Q8:AB8" si="1">Q6*Q7</f>
        <v>#REF!</v>
      </c>
      <c r="R8" s="194" t="e">
        <f t="shared" si="1"/>
        <v>#REF!</v>
      </c>
      <c r="S8" s="194" t="e">
        <f t="shared" si="1"/>
        <v>#REF!</v>
      </c>
      <c r="T8" s="194" t="e">
        <f t="shared" si="1"/>
        <v>#REF!</v>
      </c>
      <c r="U8" s="194" t="e">
        <f t="shared" si="1"/>
        <v>#REF!</v>
      </c>
      <c r="V8" s="194" t="e">
        <f t="shared" si="1"/>
        <v>#REF!</v>
      </c>
      <c r="W8" s="194" t="e">
        <f t="shared" si="1"/>
        <v>#REF!</v>
      </c>
      <c r="X8" s="194" t="e">
        <f t="shared" si="1"/>
        <v>#REF!</v>
      </c>
      <c r="Y8" s="194" t="e">
        <f t="shared" si="1"/>
        <v>#REF!</v>
      </c>
      <c r="Z8" s="194" t="e">
        <f t="shared" si="1"/>
        <v>#REF!</v>
      </c>
      <c r="AA8" s="194" t="e">
        <f t="shared" si="1"/>
        <v>#REF!</v>
      </c>
      <c r="AB8" s="194" t="e">
        <f t="shared" si="1"/>
        <v>#REF!</v>
      </c>
      <c r="AC8" s="195" t="e">
        <f>SUM(Q8:AB8)</f>
        <v>#REF!</v>
      </c>
      <c r="AD8" s="194" t="e">
        <f t="shared" ref="AD8:AO8" si="2">AD6*AD7</f>
        <v>#REF!</v>
      </c>
      <c r="AE8" s="194" t="e">
        <f t="shared" si="2"/>
        <v>#REF!</v>
      </c>
      <c r="AF8" s="194" t="e">
        <f t="shared" si="2"/>
        <v>#REF!</v>
      </c>
      <c r="AG8" s="194" t="e">
        <f t="shared" si="2"/>
        <v>#REF!</v>
      </c>
      <c r="AH8" s="194" t="e">
        <f t="shared" si="2"/>
        <v>#REF!</v>
      </c>
      <c r="AI8" s="194" t="e">
        <f t="shared" si="2"/>
        <v>#REF!</v>
      </c>
      <c r="AJ8" s="194" t="e">
        <f t="shared" si="2"/>
        <v>#REF!</v>
      </c>
      <c r="AK8" s="194" t="e">
        <f t="shared" si="2"/>
        <v>#REF!</v>
      </c>
      <c r="AL8" s="194" t="e">
        <f t="shared" si="2"/>
        <v>#REF!</v>
      </c>
      <c r="AM8" s="194" t="e">
        <f t="shared" si="2"/>
        <v>#REF!</v>
      </c>
      <c r="AN8" s="194" t="e">
        <f t="shared" si="2"/>
        <v>#REF!</v>
      </c>
      <c r="AO8" s="194" t="e">
        <f t="shared" si="2"/>
        <v>#REF!</v>
      </c>
      <c r="AP8" s="195" t="e">
        <f>SUM(AD8:AO8)</f>
        <v>#REF!</v>
      </c>
      <c r="AQ8" s="194" t="e">
        <f t="shared" ref="AQ8:BB8" si="3">AQ6*AQ7</f>
        <v>#REF!</v>
      </c>
      <c r="AR8" s="194" t="e">
        <f t="shared" si="3"/>
        <v>#REF!</v>
      </c>
      <c r="AS8" s="194" t="e">
        <f t="shared" si="3"/>
        <v>#REF!</v>
      </c>
      <c r="AT8" s="194" t="e">
        <f t="shared" si="3"/>
        <v>#REF!</v>
      </c>
      <c r="AU8" s="194" t="e">
        <f t="shared" si="3"/>
        <v>#REF!</v>
      </c>
      <c r="AV8" s="194" t="e">
        <f t="shared" si="3"/>
        <v>#REF!</v>
      </c>
      <c r="AW8" s="194" t="e">
        <f t="shared" si="3"/>
        <v>#REF!</v>
      </c>
      <c r="AX8" s="194" t="e">
        <f t="shared" si="3"/>
        <v>#REF!</v>
      </c>
      <c r="AY8" s="194" t="e">
        <f t="shared" si="3"/>
        <v>#REF!</v>
      </c>
      <c r="AZ8" s="194" t="e">
        <f t="shared" si="3"/>
        <v>#REF!</v>
      </c>
      <c r="BA8" s="194" t="e">
        <f t="shared" si="3"/>
        <v>#REF!</v>
      </c>
      <c r="BB8" s="194" t="e">
        <f t="shared" si="3"/>
        <v>#REF!</v>
      </c>
      <c r="BC8" s="195" t="e">
        <f>SUM(AQ8:BB8)</f>
        <v>#REF!</v>
      </c>
      <c r="BD8" s="194" t="e">
        <f t="shared" ref="BD8:BO8" si="4">BD6*BD7</f>
        <v>#REF!</v>
      </c>
      <c r="BE8" s="194" t="e">
        <f t="shared" si="4"/>
        <v>#REF!</v>
      </c>
      <c r="BF8" s="194" t="e">
        <f t="shared" si="4"/>
        <v>#REF!</v>
      </c>
      <c r="BG8" s="194" t="e">
        <f t="shared" si="4"/>
        <v>#REF!</v>
      </c>
      <c r="BH8" s="194" t="e">
        <f t="shared" si="4"/>
        <v>#REF!</v>
      </c>
      <c r="BI8" s="194" t="e">
        <f t="shared" si="4"/>
        <v>#REF!</v>
      </c>
      <c r="BJ8" s="194" t="e">
        <f t="shared" si="4"/>
        <v>#REF!</v>
      </c>
      <c r="BK8" s="194" t="e">
        <f t="shared" si="4"/>
        <v>#REF!</v>
      </c>
      <c r="BL8" s="194" t="e">
        <f t="shared" si="4"/>
        <v>#REF!</v>
      </c>
      <c r="BM8" s="194" t="e">
        <f t="shared" si="4"/>
        <v>#REF!</v>
      </c>
      <c r="BN8" s="194" t="e">
        <f t="shared" si="4"/>
        <v>#REF!</v>
      </c>
      <c r="BO8" s="194" t="e">
        <f t="shared" si="4"/>
        <v>#REF!</v>
      </c>
      <c r="BP8" s="195" t="e">
        <f>SUM(BD8:BO8)</f>
        <v>#REF!</v>
      </c>
      <c r="BQ8" s="238" t="e">
        <f>BQ6*BQ7</f>
        <v>#REF!</v>
      </c>
    </row>
    <row r="9" spans="1:69" ht="12.75" customHeight="1">
      <c r="A9" s="1"/>
      <c r="B9" s="1"/>
      <c r="C9" s="1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7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239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239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239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239"/>
      <c r="BQ9" s="240"/>
    </row>
    <row r="10" spans="1:69" ht="12.75" customHeight="1">
      <c r="A10" s="187"/>
      <c r="B10" s="187" t="s">
        <v>86</v>
      </c>
      <c r="C10" s="187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98"/>
      <c r="BK10" s="198"/>
      <c r="BL10" s="198"/>
      <c r="BM10" s="198"/>
      <c r="BN10" s="198"/>
      <c r="BO10" s="198"/>
      <c r="BP10" s="198"/>
      <c r="BQ10" s="198"/>
    </row>
    <row r="11" spans="1:69" ht="12.75" customHeight="1">
      <c r="A11" s="199" t="s">
        <v>418</v>
      </c>
      <c r="B11" s="199"/>
      <c r="C11" s="199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1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41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41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41"/>
      <c r="BD11" s="200"/>
      <c r="BE11" s="200"/>
      <c r="BF11" s="200"/>
      <c r="BG11" s="200"/>
      <c r="BH11" s="200"/>
      <c r="BI11" s="200"/>
      <c r="BJ11" s="200"/>
      <c r="BK11" s="200"/>
      <c r="BL11" s="200"/>
      <c r="BM11" s="200"/>
      <c r="BN11" s="200"/>
      <c r="BO11" s="200"/>
      <c r="BP11" s="241"/>
      <c r="BQ11" s="242"/>
    </row>
    <row r="12" spans="1:69" ht="12.75" customHeight="1">
      <c r="A12" s="202"/>
      <c r="B12" s="203" t="s">
        <v>418</v>
      </c>
      <c r="C12" s="203"/>
      <c r="D12" s="203" t="e">
        <f>D8*(1-Assumptions!$I$33)</f>
        <v>#VALUE!</v>
      </c>
      <c r="E12" s="203" t="e">
        <f>E8*(1-Assumptions!$I$33)</f>
        <v>#VALUE!</v>
      </c>
      <c r="F12" s="203" t="e">
        <f>F8*(1-Assumptions!$I$33)</f>
        <v>#VALUE!</v>
      </c>
      <c r="G12" s="203" t="e">
        <f>G8*(1-Assumptions!$I$33)</f>
        <v>#REF!</v>
      </c>
      <c r="H12" s="203" t="e">
        <f>H8*(1-Assumptions!$I$33)</f>
        <v>#REF!</v>
      </c>
      <c r="I12" s="203" t="e">
        <f>I8*(1-Assumptions!$I$33)</f>
        <v>#REF!</v>
      </c>
      <c r="J12" s="203" t="e">
        <f>J8*(1-Assumptions!$I$33)</f>
        <v>#REF!</v>
      </c>
      <c r="K12" s="203" t="e">
        <f>K8*(1-Assumptions!$I$33)</f>
        <v>#REF!</v>
      </c>
      <c r="L12" s="203" t="e">
        <f>L8*(1-Assumptions!$I$33)</f>
        <v>#REF!</v>
      </c>
      <c r="M12" s="203" t="e">
        <f>M8*(1-Assumptions!$I$33)</f>
        <v>#REF!</v>
      </c>
      <c r="N12" s="203" t="e">
        <f>N8*(1-Assumptions!$I$33)</f>
        <v>#REF!</v>
      </c>
      <c r="O12" s="203" t="e">
        <f>O8*(1-Assumptions!$I$33)</f>
        <v>#REF!</v>
      </c>
      <c r="P12" s="205" t="e">
        <f>P8*(1-Assumptions!$I$33)</f>
        <v>#REF!</v>
      </c>
      <c r="Q12" s="203" t="e">
        <f>Q8*(1-Assumptions!$I$33)</f>
        <v>#REF!</v>
      </c>
      <c r="R12" s="203" t="e">
        <f>R8*(1-Assumptions!$I$33)</f>
        <v>#REF!</v>
      </c>
      <c r="S12" s="203" t="e">
        <f>S8*(1-Assumptions!$I$33)</f>
        <v>#REF!</v>
      </c>
      <c r="T12" s="203" t="e">
        <f>T8*(1-Assumptions!$I$33)</f>
        <v>#REF!</v>
      </c>
      <c r="U12" s="203" t="e">
        <f>U8*(1-Assumptions!$I$33)</f>
        <v>#REF!</v>
      </c>
      <c r="V12" s="203" t="e">
        <f>V8*(1-Assumptions!$I$33)</f>
        <v>#REF!</v>
      </c>
      <c r="W12" s="203" t="e">
        <f>W8*(1-Assumptions!$I$33)</f>
        <v>#REF!</v>
      </c>
      <c r="X12" s="203" t="e">
        <f>X8*(1-Assumptions!$I$33)</f>
        <v>#REF!</v>
      </c>
      <c r="Y12" s="203" t="e">
        <f>Y8*(1-Assumptions!$I$33)</f>
        <v>#REF!</v>
      </c>
      <c r="Z12" s="203" t="e">
        <f>Z8*(1-Assumptions!$I$33)</f>
        <v>#REF!</v>
      </c>
      <c r="AA12" s="203" t="e">
        <f>AA8*(1-Assumptions!$I$33)</f>
        <v>#REF!</v>
      </c>
      <c r="AB12" s="203" t="e">
        <f>AB8*(1-Assumptions!$I$33)</f>
        <v>#REF!</v>
      </c>
      <c r="AC12" s="205" t="e">
        <f>AC8*(1-Assumptions!$I$33)</f>
        <v>#REF!</v>
      </c>
      <c r="AD12" s="203" t="e">
        <f>AD8*(1-Assumptions!$I$33)</f>
        <v>#REF!</v>
      </c>
      <c r="AE12" s="203" t="e">
        <f>AE8*(1-Assumptions!$I$33)</f>
        <v>#REF!</v>
      </c>
      <c r="AF12" s="203" t="e">
        <f>AF8*(1-Assumptions!$I$33)</f>
        <v>#REF!</v>
      </c>
      <c r="AG12" s="203" t="e">
        <f>AG8*(1-Assumptions!$I$33)</f>
        <v>#REF!</v>
      </c>
      <c r="AH12" s="203" t="e">
        <f>AH8*(1-Assumptions!$I$33)</f>
        <v>#REF!</v>
      </c>
      <c r="AI12" s="203" t="e">
        <f>AI8*(1-Assumptions!$I$33)</f>
        <v>#REF!</v>
      </c>
      <c r="AJ12" s="203" t="e">
        <f>AJ8*(1-Assumptions!$I$33)</f>
        <v>#REF!</v>
      </c>
      <c r="AK12" s="203" t="e">
        <f>AK8*(1-Assumptions!$I$33)</f>
        <v>#REF!</v>
      </c>
      <c r="AL12" s="203" t="e">
        <f>AL8*(1-Assumptions!$I$33)</f>
        <v>#REF!</v>
      </c>
      <c r="AM12" s="203" t="e">
        <f>AM8*(1-Assumptions!$I$33)</f>
        <v>#REF!</v>
      </c>
      <c r="AN12" s="203" t="e">
        <f>AN8*(1-Assumptions!$I$33)</f>
        <v>#REF!</v>
      </c>
      <c r="AO12" s="203" t="e">
        <f>AO8*(1-Assumptions!$I$33)</f>
        <v>#REF!</v>
      </c>
      <c r="AP12" s="205" t="e">
        <f>AP8*(1-Assumptions!$I$33)</f>
        <v>#REF!</v>
      </c>
      <c r="AQ12" s="203" t="e">
        <f>AQ8*(1-Assumptions!$I$33)</f>
        <v>#REF!</v>
      </c>
      <c r="AR12" s="203" t="e">
        <f>AR8*(1-Assumptions!$I$33)</f>
        <v>#REF!</v>
      </c>
      <c r="AS12" s="203" t="e">
        <f>AS8*(1-Assumptions!$I$33)</f>
        <v>#REF!</v>
      </c>
      <c r="AT12" s="203" t="e">
        <f>AT8*(1-Assumptions!$I$33)</f>
        <v>#REF!</v>
      </c>
      <c r="AU12" s="203" t="e">
        <f>AU8*(1-Assumptions!$I$33)</f>
        <v>#REF!</v>
      </c>
      <c r="AV12" s="203" t="e">
        <f>AV8*(1-Assumptions!$I$33)</f>
        <v>#REF!</v>
      </c>
      <c r="AW12" s="203" t="e">
        <f>AW8*(1-Assumptions!$I$33)</f>
        <v>#REF!</v>
      </c>
      <c r="AX12" s="203" t="e">
        <f>AX8*(1-Assumptions!$I$33)</f>
        <v>#REF!</v>
      </c>
      <c r="AY12" s="203" t="e">
        <f>AY8*(1-Assumptions!$I$33)</f>
        <v>#REF!</v>
      </c>
      <c r="AZ12" s="203" t="e">
        <f>AZ8*(1-Assumptions!$I$33)</f>
        <v>#REF!</v>
      </c>
      <c r="BA12" s="203" t="e">
        <f>BA8*(1-Assumptions!$I$33)</f>
        <v>#REF!</v>
      </c>
      <c r="BB12" s="203" t="e">
        <f>BB8*(1-Assumptions!$I$33)</f>
        <v>#REF!</v>
      </c>
      <c r="BC12" s="205" t="e">
        <f>BC8*(1-Assumptions!$I$33)</f>
        <v>#REF!</v>
      </c>
      <c r="BD12" s="203" t="e">
        <f>BD8*(1-Assumptions!$I$33)</f>
        <v>#REF!</v>
      </c>
      <c r="BE12" s="203" t="e">
        <f>BE8*(1-Assumptions!$I$33)</f>
        <v>#REF!</v>
      </c>
      <c r="BF12" s="203" t="e">
        <f>BF8*(1-Assumptions!$I$33)</f>
        <v>#REF!</v>
      </c>
      <c r="BG12" s="203" t="e">
        <f>BG8*(1-Assumptions!$I$33)</f>
        <v>#REF!</v>
      </c>
      <c r="BH12" s="203" t="e">
        <f>BH8*(1-Assumptions!$I$33)</f>
        <v>#REF!</v>
      </c>
      <c r="BI12" s="203" t="e">
        <f>BI8*(1-Assumptions!$I$33)</f>
        <v>#REF!</v>
      </c>
      <c r="BJ12" s="203" t="e">
        <f>BJ8*(1-Assumptions!$I$33)</f>
        <v>#REF!</v>
      </c>
      <c r="BK12" s="203" t="e">
        <f>BK8*(1-Assumptions!$I$33)</f>
        <v>#REF!</v>
      </c>
      <c r="BL12" s="203" t="e">
        <f>BL8*(1-Assumptions!$I$33)</f>
        <v>#REF!</v>
      </c>
      <c r="BM12" s="203" t="e">
        <f>BM8*(1-Assumptions!$I$33)</f>
        <v>#REF!</v>
      </c>
      <c r="BN12" s="203" t="e">
        <f>BN8*(1-Assumptions!$I$33)</f>
        <v>#REF!</v>
      </c>
      <c r="BO12" s="203" t="e">
        <f>BO8*(1-Assumptions!$I$33)</f>
        <v>#REF!</v>
      </c>
      <c r="BP12" s="205" t="e">
        <f>BP8*(1-Assumptions!$I$33)</f>
        <v>#REF!</v>
      </c>
      <c r="BQ12" s="243" t="e">
        <f>BQ8*(1-Assumptions!$I$33)</f>
        <v>#REF!</v>
      </c>
    </row>
    <row r="13" spans="1:69" ht="12.75" customHeight="1">
      <c r="A13" s="176"/>
      <c r="B13" s="203" t="s">
        <v>419</v>
      </c>
      <c r="C13" s="203"/>
      <c r="D13" s="203">
        <f t="shared" ref="D13:O13" si="5">D8*0.025</f>
        <v>0</v>
      </c>
      <c r="E13" s="203">
        <f t="shared" si="5"/>
        <v>0</v>
      </c>
      <c r="F13" s="203">
        <f t="shared" si="5"/>
        <v>0</v>
      </c>
      <c r="G13" s="203" t="e">
        <f t="shared" si="5"/>
        <v>#REF!</v>
      </c>
      <c r="H13" s="203" t="e">
        <f t="shared" si="5"/>
        <v>#REF!</v>
      </c>
      <c r="I13" s="203" t="e">
        <f t="shared" si="5"/>
        <v>#REF!</v>
      </c>
      <c r="J13" s="203" t="e">
        <f t="shared" si="5"/>
        <v>#REF!</v>
      </c>
      <c r="K13" s="203" t="e">
        <f t="shared" si="5"/>
        <v>#REF!</v>
      </c>
      <c r="L13" s="203" t="e">
        <f t="shared" si="5"/>
        <v>#REF!</v>
      </c>
      <c r="M13" s="203" t="e">
        <f t="shared" si="5"/>
        <v>#REF!</v>
      </c>
      <c r="N13" s="203" t="e">
        <f t="shared" si="5"/>
        <v>#REF!</v>
      </c>
      <c r="O13" s="203" t="e">
        <f t="shared" si="5"/>
        <v>#REF!</v>
      </c>
      <c r="P13" s="205" t="e">
        <f>SUM(D13:O13)</f>
        <v>#REF!</v>
      </c>
      <c r="Q13" s="203" t="e">
        <f t="shared" ref="Q13:AB13" si="6">Q8*0.025</f>
        <v>#REF!</v>
      </c>
      <c r="R13" s="203" t="e">
        <f t="shared" si="6"/>
        <v>#REF!</v>
      </c>
      <c r="S13" s="203" t="e">
        <f t="shared" si="6"/>
        <v>#REF!</v>
      </c>
      <c r="T13" s="203" t="e">
        <f t="shared" si="6"/>
        <v>#REF!</v>
      </c>
      <c r="U13" s="203" t="e">
        <f t="shared" si="6"/>
        <v>#REF!</v>
      </c>
      <c r="V13" s="203" t="e">
        <f t="shared" si="6"/>
        <v>#REF!</v>
      </c>
      <c r="W13" s="203" t="e">
        <f t="shared" si="6"/>
        <v>#REF!</v>
      </c>
      <c r="X13" s="203" t="e">
        <f t="shared" si="6"/>
        <v>#REF!</v>
      </c>
      <c r="Y13" s="203" t="e">
        <f t="shared" si="6"/>
        <v>#REF!</v>
      </c>
      <c r="Z13" s="203" t="e">
        <f t="shared" si="6"/>
        <v>#REF!</v>
      </c>
      <c r="AA13" s="203" t="e">
        <f t="shared" si="6"/>
        <v>#REF!</v>
      </c>
      <c r="AB13" s="203" t="e">
        <f t="shared" si="6"/>
        <v>#REF!</v>
      </c>
      <c r="AC13" s="205" t="e">
        <f>SUM(Q13:AB13)</f>
        <v>#REF!</v>
      </c>
      <c r="AD13" s="203" t="e">
        <f t="shared" ref="AD13:AO13" si="7">AD8*0.025</f>
        <v>#REF!</v>
      </c>
      <c r="AE13" s="203" t="e">
        <f t="shared" si="7"/>
        <v>#REF!</v>
      </c>
      <c r="AF13" s="203" t="e">
        <f t="shared" si="7"/>
        <v>#REF!</v>
      </c>
      <c r="AG13" s="203" t="e">
        <f t="shared" si="7"/>
        <v>#REF!</v>
      </c>
      <c r="AH13" s="203" t="e">
        <f t="shared" si="7"/>
        <v>#REF!</v>
      </c>
      <c r="AI13" s="203" t="e">
        <f t="shared" si="7"/>
        <v>#REF!</v>
      </c>
      <c r="AJ13" s="203" t="e">
        <f t="shared" si="7"/>
        <v>#REF!</v>
      </c>
      <c r="AK13" s="203" t="e">
        <f t="shared" si="7"/>
        <v>#REF!</v>
      </c>
      <c r="AL13" s="203" t="e">
        <f t="shared" si="7"/>
        <v>#REF!</v>
      </c>
      <c r="AM13" s="203" t="e">
        <f t="shared" si="7"/>
        <v>#REF!</v>
      </c>
      <c r="AN13" s="203" t="e">
        <f t="shared" si="7"/>
        <v>#REF!</v>
      </c>
      <c r="AO13" s="203" t="e">
        <f t="shared" si="7"/>
        <v>#REF!</v>
      </c>
      <c r="AP13" s="205" t="e">
        <f>SUM(AD13:AO13)</f>
        <v>#REF!</v>
      </c>
      <c r="AQ13" s="203" t="e">
        <f t="shared" ref="AQ13:BB13" si="8">AQ8*0.025</f>
        <v>#REF!</v>
      </c>
      <c r="AR13" s="203" t="e">
        <f t="shared" si="8"/>
        <v>#REF!</v>
      </c>
      <c r="AS13" s="203" t="e">
        <f t="shared" si="8"/>
        <v>#REF!</v>
      </c>
      <c r="AT13" s="203" t="e">
        <f t="shared" si="8"/>
        <v>#REF!</v>
      </c>
      <c r="AU13" s="203" t="e">
        <f t="shared" si="8"/>
        <v>#REF!</v>
      </c>
      <c r="AV13" s="203" t="e">
        <f t="shared" si="8"/>
        <v>#REF!</v>
      </c>
      <c r="AW13" s="203" t="e">
        <f t="shared" si="8"/>
        <v>#REF!</v>
      </c>
      <c r="AX13" s="203" t="e">
        <f t="shared" si="8"/>
        <v>#REF!</v>
      </c>
      <c r="AY13" s="203" t="e">
        <f t="shared" si="8"/>
        <v>#REF!</v>
      </c>
      <c r="AZ13" s="203" t="e">
        <f t="shared" si="8"/>
        <v>#REF!</v>
      </c>
      <c r="BA13" s="203" t="e">
        <f t="shared" si="8"/>
        <v>#REF!</v>
      </c>
      <c r="BB13" s="203" t="e">
        <f t="shared" si="8"/>
        <v>#REF!</v>
      </c>
      <c r="BC13" s="205" t="e">
        <f>SUM(AQ13:BB13)</f>
        <v>#REF!</v>
      </c>
      <c r="BD13" s="203" t="e">
        <f t="shared" ref="BD13:BO13" si="9">BD8*0.025</f>
        <v>#REF!</v>
      </c>
      <c r="BE13" s="203" t="e">
        <f t="shared" si="9"/>
        <v>#REF!</v>
      </c>
      <c r="BF13" s="203" t="e">
        <f t="shared" si="9"/>
        <v>#REF!</v>
      </c>
      <c r="BG13" s="203" t="e">
        <f t="shared" si="9"/>
        <v>#REF!</v>
      </c>
      <c r="BH13" s="203" t="e">
        <f t="shared" si="9"/>
        <v>#REF!</v>
      </c>
      <c r="BI13" s="203" t="e">
        <f t="shared" si="9"/>
        <v>#REF!</v>
      </c>
      <c r="BJ13" s="203" t="e">
        <f t="shared" si="9"/>
        <v>#REF!</v>
      </c>
      <c r="BK13" s="203" t="e">
        <f t="shared" si="9"/>
        <v>#REF!</v>
      </c>
      <c r="BL13" s="203" t="e">
        <f t="shared" si="9"/>
        <v>#REF!</v>
      </c>
      <c r="BM13" s="203" t="e">
        <f t="shared" si="9"/>
        <v>#REF!</v>
      </c>
      <c r="BN13" s="203" t="e">
        <f t="shared" si="9"/>
        <v>#REF!</v>
      </c>
      <c r="BO13" s="203" t="e">
        <f t="shared" si="9"/>
        <v>#REF!</v>
      </c>
      <c r="BP13" s="205" t="e">
        <f>SUM(BD13:BO13)</f>
        <v>#REF!</v>
      </c>
      <c r="BQ13" s="243" t="e">
        <f>SUM(AP13+AC13+P13+BC13+BP13)</f>
        <v>#REF!</v>
      </c>
    </row>
    <row r="14" spans="1:69" ht="12.75" customHeight="1">
      <c r="A14" s="206"/>
      <c r="B14" s="207"/>
      <c r="C14" s="162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5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5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5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5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5"/>
      <c r="BQ14" s="243"/>
    </row>
    <row r="15" spans="1:69" ht="12.75" customHeight="1">
      <c r="A15" s="208"/>
      <c r="B15" s="209" t="s">
        <v>420</v>
      </c>
      <c r="C15" s="192"/>
      <c r="D15" s="210" t="e">
        <f t="shared" ref="D15:BQ15" si="10">SUM(D12:D14)</f>
        <v>#VALUE!</v>
      </c>
      <c r="E15" s="210" t="e">
        <f t="shared" si="10"/>
        <v>#VALUE!</v>
      </c>
      <c r="F15" s="210" t="e">
        <f t="shared" si="10"/>
        <v>#VALUE!</v>
      </c>
      <c r="G15" s="210" t="e">
        <f t="shared" si="10"/>
        <v>#REF!</v>
      </c>
      <c r="H15" s="210" t="e">
        <f t="shared" si="10"/>
        <v>#REF!</v>
      </c>
      <c r="I15" s="210" t="e">
        <f t="shared" si="10"/>
        <v>#REF!</v>
      </c>
      <c r="J15" s="210" t="e">
        <f t="shared" si="10"/>
        <v>#REF!</v>
      </c>
      <c r="K15" s="210" t="e">
        <f t="shared" si="10"/>
        <v>#REF!</v>
      </c>
      <c r="L15" s="210" t="e">
        <f t="shared" si="10"/>
        <v>#REF!</v>
      </c>
      <c r="M15" s="210" t="e">
        <f t="shared" si="10"/>
        <v>#REF!</v>
      </c>
      <c r="N15" s="210" t="e">
        <f t="shared" si="10"/>
        <v>#REF!</v>
      </c>
      <c r="O15" s="210" t="e">
        <f t="shared" si="10"/>
        <v>#REF!</v>
      </c>
      <c r="P15" s="211" t="e">
        <f t="shared" si="10"/>
        <v>#REF!</v>
      </c>
      <c r="Q15" s="210" t="e">
        <f t="shared" si="10"/>
        <v>#REF!</v>
      </c>
      <c r="R15" s="210" t="e">
        <f t="shared" si="10"/>
        <v>#REF!</v>
      </c>
      <c r="S15" s="210" t="e">
        <f t="shared" si="10"/>
        <v>#REF!</v>
      </c>
      <c r="T15" s="210" t="e">
        <f t="shared" si="10"/>
        <v>#REF!</v>
      </c>
      <c r="U15" s="210" t="e">
        <f t="shared" si="10"/>
        <v>#REF!</v>
      </c>
      <c r="V15" s="210" t="e">
        <f t="shared" si="10"/>
        <v>#REF!</v>
      </c>
      <c r="W15" s="210" t="e">
        <f t="shared" si="10"/>
        <v>#REF!</v>
      </c>
      <c r="X15" s="210" t="e">
        <f t="shared" si="10"/>
        <v>#REF!</v>
      </c>
      <c r="Y15" s="210" t="e">
        <f t="shared" si="10"/>
        <v>#REF!</v>
      </c>
      <c r="Z15" s="210" t="e">
        <f t="shared" si="10"/>
        <v>#REF!</v>
      </c>
      <c r="AA15" s="210" t="e">
        <f t="shared" si="10"/>
        <v>#REF!</v>
      </c>
      <c r="AB15" s="210" t="e">
        <f t="shared" si="10"/>
        <v>#REF!</v>
      </c>
      <c r="AC15" s="211" t="e">
        <f t="shared" si="10"/>
        <v>#REF!</v>
      </c>
      <c r="AD15" s="210" t="e">
        <f t="shared" si="10"/>
        <v>#REF!</v>
      </c>
      <c r="AE15" s="210" t="e">
        <f t="shared" si="10"/>
        <v>#REF!</v>
      </c>
      <c r="AF15" s="210" t="e">
        <f t="shared" si="10"/>
        <v>#REF!</v>
      </c>
      <c r="AG15" s="210" t="e">
        <f t="shared" si="10"/>
        <v>#REF!</v>
      </c>
      <c r="AH15" s="210" t="e">
        <f t="shared" si="10"/>
        <v>#REF!</v>
      </c>
      <c r="AI15" s="210" t="e">
        <f t="shared" si="10"/>
        <v>#REF!</v>
      </c>
      <c r="AJ15" s="210" t="e">
        <f t="shared" si="10"/>
        <v>#REF!</v>
      </c>
      <c r="AK15" s="210" t="e">
        <f t="shared" si="10"/>
        <v>#REF!</v>
      </c>
      <c r="AL15" s="210" t="e">
        <f t="shared" si="10"/>
        <v>#REF!</v>
      </c>
      <c r="AM15" s="210" t="e">
        <f t="shared" si="10"/>
        <v>#REF!</v>
      </c>
      <c r="AN15" s="210" t="e">
        <f t="shared" si="10"/>
        <v>#REF!</v>
      </c>
      <c r="AO15" s="210" t="e">
        <f t="shared" si="10"/>
        <v>#REF!</v>
      </c>
      <c r="AP15" s="211" t="e">
        <f t="shared" si="10"/>
        <v>#REF!</v>
      </c>
      <c r="AQ15" s="210" t="e">
        <f t="shared" si="10"/>
        <v>#REF!</v>
      </c>
      <c r="AR15" s="210" t="e">
        <f t="shared" si="10"/>
        <v>#REF!</v>
      </c>
      <c r="AS15" s="210" t="e">
        <f t="shared" si="10"/>
        <v>#REF!</v>
      </c>
      <c r="AT15" s="210" t="e">
        <f t="shared" si="10"/>
        <v>#REF!</v>
      </c>
      <c r="AU15" s="210" t="e">
        <f t="shared" si="10"/>
        <v>#REF!</v>
      </c>
      <c r="AV15" s="210" t="e">
        <f t="shared" si="10"/>
        <v>#REF!</v>
      </c>
      <c r="AW15" s="210" t="e">
        <f t="shared" si="10"/>
        <v>#REF!</v>
      </c>
      <c r="AX15" s="210" t="e">
        <f t="shared" si="10"/>
        <v>#REF!</v>
      </c>
      <c r="AY15" s="210" t="e">
        <f t="shared" si="10"/>
        <v>#REF!</v>
      </c>
      <c r="AZ15" s="210" t="e">
        <f t="shared" si="10"/>
        <v>#REF!</v>
      </c>
      <c r="BA15" s="210" t="e">
        <f t="shared" si="10"/>
        <v>#REF!</v>
      </c>
      <c r="BB15" s="210" t="e">
        <f t="shared" si="10"/>
        <v>#REF!</v>
      </c>
      <c r="BC15" s="211" t="e">
        <f t="shared" si="10"/>
        <v>#REF!</v>
      </c>
      <c r="BD15" s="210" t="e">
        <f t="shared" si="10"/>
        <v>#REF!</v>
      </c>
      <c r="BE15" s="210" t="e">
        <f t="shared" si="10"/>
        <v>#REF!</v>
      </c>
      <c r="BF15" s="210" t="e">
        <f t="shared" si="10"/>
        <v>#REF!</v>
      </c>
      <c r="BG15" s="210" t="e">
        <f t="shared" si="10"/>
        <v>#REF!</v>
      </c>
      <c r="BH15" s="210" t="e">
        <f t="shared" si="10"/>
        <v>#REF!</v>
      </c>
      <c r="BI15" s="210" t="e">
        <f t="shared" si="10"/>
        <v>#REF!</v>
      </c>
      <c r="BJ15" s="210" t="e">
        <f t="shared" si="10"/>
        <v>#REF!</v>
      </c>
      <c r="BK15" s="210" t="e">
        <f t="shared" si="10"/>
        <v>#REF!</v>
      </c>
      <c r="BL15" s="210" t="e">
        <f t="shared" si="10"/>
        <v>#REF!</v>
      </c>
      <c r="BM15" s="210" t="e">
        <f t="shared" si="10"/>
        <v>#REF!</v>
      </c>
      <c r="BN15" s="210" t="e">
        <f t="shared" si="10"/>
        <v>#REF!</v>
      </c>
      <c r="BO15" s="210" t="e">
        <f t="shared" si="10"/>
        <v>#REF!</v>
      </c>
      <c r="BP15" s="211" t="e">
        <f t="shared" si="10"/>
        <v>#REF!</v>
      </c>
      <c r="BQ15" s="211" t="e">
        <f t="shared" si="10"/>
        <v>#REF!</v>
      </c>
    </row>
    <row r="16" spans="1:69" ht="12.75" customHeight="1">
      <c r="A16" s="212" t="s">
        <v>421</v>
      </c>
      <c r="B16" s="192"/>
      <c r="C16" s="192"/>
      <c r="D16" s="213" t="e">
        <f t="shared" ref="D16:BQ16" si="11">D8-D15</f>
        <v>#VALUE!</v>
      </c>
      <c r="E16" s="213" t="e">
        <f t="shared" si="11"/>
        <v>#VALUE!</v>
      </c>
      <c r="F16" s="213" t="e">
        <f t="shared" si="11"/>
        <v>#VALUE!</v>
      </c>
      <c r="G16" s="213" t="e">
        <f t="shared" si="11"/>
        <v>#REF!</v>
      </c>
      <c r="H16" s="213" t="e">
        <f t="shared" si="11"/>
        <v>#REF!</v>
      </c>
      <c r="I16" s="213" t="e">
        <f t="shared" si="11"/>
        <v>#REF!</v>
      </c>
      <c r="J16" s="213" t="e">
        <f t="shared" si="11"/>
        <v>#REF!</v>
      </c>
      <c r="K16" s="213" t="e">
        <f t="shared" si="11"/>
        <v>#REF!</v>
      </c>
      <c r="L16" s="213" t="e">
        <f t="shared" si="11"/>
        <v>#REF!</v>
      </c>
      <c r="M16" s="213" t="e">
        <f t="shared" si="11"/>
        <v>#REF!</v>
      </c>
      <c r="N16" s="213" t="e">
        <f t="shared" si="11"/>
        <v>#REF!</v>
      </c>
      <c r="O16" s="213" t="e">
        <f t="shared" si="11"/>
        <v>#REF!</v>
      </c>
      <c r="P16" s="211" t="e">
        <f t="shared" si="11"/>
        <v>#REF!</v>
      </c>
      <c r="Q16" s="213" t="e">
        <f t="shared" si="11"/>
        <v>#REF!</v>
      </c>
      <c r="R16" s="213" t="e">
        <f t="shared" si="11"/>
        <v>#REF!</v>
      </c>
      <c r="S16" s="213" t="e">
        <f t="shared" si="11"/>
        <v>#REF!</v>
      </c>
      <c r="T16" s="213" t="e">
        <f t="shared" si="11"/>
        <v>#REF!</v>
      </c>
      <c r="U16" s="213" t="e">
        <f t="shared" si="11"/>
        <v>#REF!</v>
      </c>
      <c r="V16" s="213" t="e">
        <f t="shared" si="11"/>
        <v>#REF!</v>
      </c>
      <c r="W16" s="213" t="e">
        <f t="shared" si="11"/>
        <v>#REF!</v>
      </c>
      <c r="X16" s="213" t="e">
        <f t="shared" si="11"/>
        <v>#REF!</v>
      </c>
      <c r="Y16" s="213" t="e">
        <f t="shared" si="11"/>
        <v>#REF!</v>
      </c>
      <c r="Z16" s="213" t="e">
        <f t="shared" si="11"/>
        <v>#REF!</v>
      </c>
      <c r="AA16" s="213" t="e">
        <f t="shared" si="11"/>
        <v>#REF!</v>
      </c>
      <c r="AB16" s="213" t="e">
        <f t="shared" si="11"/>
        <v>#REF!</v>
      </c>
      <c r="AC16" s="211" t="e">
        <f t="shared" si="11"/>
        <v>#REF!</v>
      </c>
      <c r="AD16" s="213" t="e">
        <f t="shared" si="11"/>
        <v>#REF!</v>
      </c>
      <c r="AE16" s="213" t="e">
        <f t="shared" si="11"/>
        <v>#REF!</v>
      </c>
      <c r="AF16" s="213" t="e">
        <f t="shared" si="11"/>
        <v>#REF!</v>
      </c>
      <c r="AG16" s="213" t="e">
        <f t="shared" si="11"/>
        <v>#REF!</v>
      </c>
      <c r="AH16" s="213" t="e">
        <f t="shared" si="11"/>
        <v>#REF!</v>
      </c>
      <c r="AI16" s="213" t="e">
        <f t="shared" si="11"/>
        <v>#REF!</v>
      </c>
      <c r="AJ16" s="213" t="e">
        <f t="shared" si="11"/>
        <v>#REF!</v>
      </c>
      <c r="AK16" s="213" t="e">
        <f t="shared" si="11"/>
        <v>#REF!</v>
      </c>
      <c r="AL16" s="213" t="e">
        <f t="shared" si="11"/>
        <v>#REF!</v>
      </c>
      <c r="AM16" s="213" t="e">
        <f t="shared" si="11"/>
        <v>#REF!</v>
      </c>
      <c r="AN16" s="213" t="e">
        <f t="shared" si="11"/>
        <v>#REF!</v>
      </c>
      <c r="AO16" s="213" t="e">
        <f t="shared" si="11"/>
        <v>#REF!</v>
      </c>
      <c r="AP16" s="211" t="e">
        <f t="shared" si="11"/>
        <v>#REF!</v>
      </c>
      <c r="AQ16" s="213" t="e">
        <f t="shared" si="11"/>
        <v>#REF!</v>
      </c>
      <c r="AR16" s="213" t="e">
        <f t="shared" si="11"/>
        <v>#REF!</v>
      </c>
      <c r="AS16" s="213" t="e">
        <f t="shared" si="11"/>
        <v>#REF!</v>
      </c>
      <c r="AT16" s="213" t="e">
        <f t="shared" si="11"/>
        <v>#REF!</v>
      </c>
      <c r="AU16" s="213" t="e">
        <f t="shared" si="11"/>
        <v>#REF!</v>
      </c>
      <c r="AV16" s="213" t="e">
        <f t="shared" si="11"/>
        <v>#REF!</v>
      </c>
      <c r="AW16" s="213" t="e">
        <f t="shared" si="11"/>
        <v>#REF!</v>
      </c>
      <c r="AX16" s="213" t="e">
        <f t="shared" si="11"/>
        <v>#REF!</v>
      </c>
      <c r="AY16" s="213" t="e">
        <f t="shared" si="11"/>
        <v>#REF!</v>
      </c>
      <c r="AZ16" s="213" t="e">
        <f t="shared" si="11"/>
        <v>#REF!</v>
      </c>
      <c r="BA16" s="213" t="e">
        <f t="shared" si="11"/>
        <v>#REF!</v>
      </c>
      <c r="BB16" s="213" t="e">
        <f t="shared" si="11"/>
        <v>#REF!</v>
      </c>
      <c r="BC16" s="211" t="e">
        <f t="shared" si="11"/>
        <v>#REF!</v>
      </c>
      <c r="BD16" s="213" t="e">
        <f t="shared" si="11"/>
        <v>#REF!</v>
      </c>
      <c r="BE16" s="213" t="e">
        <f t="shared" si="11"/>
        <v>#REF!</v>
      </c>
      <c r="BF16" s="213" t="e">
        <f t="shared" si="11"/>
        <v>#REF!</v>
      </c>
      <c r="BG16" s="213" t="e">
        <f t="shared" si="11"/>
        <v>#REF!</v>
      </c>
      <c r="BH16" s="213" t="e">
        <f t="shared" si="11"/>
        <v>#REF!</v>
      </c>
      <c r="BI16" s="213" t="e">
        <f t="shared" si="11"/>
        <v>#REF!</v>
      </c>
      <c r="BJ16" s="213" t="e">
        <f t="shared" si="11"/>
        <v>#REF!</v>
      </c>
      <c r="BK16" s="213" t="e">
        <f t="shared" si="11"/>
        <v>#REF!</v>
      </c>
      <c r="BL16" s="213" t="e">
        <f t="shared" si="11"/>
        <v>#REF!</v>
      </c>
      <c r="BM16" s="213" t="e">
        <f t="shared" si="11"/>
        <v>#REF!</v>
      </c>
      <c r="BN16" s="213" t="e">
        <f t="shared" si="11"/>
        <v>#REF!</v>
      </c>
      <c r="BO16" s="213" t="e">
        <f t="shared" si="11"/>
        <v>#REF!</v>
      </c>
      <c r="BP16" s="211" t="e">
        <f t="shared" si="11"/>
        <v>#REF!</v>
      </c>
      <c r="BQ16" s="211" t="e">
        <f t="shared" si="11"/>
        <v>#REF!</v>
      </c>
    </row>
    <row r="18" spans="1:69" ht="12.75" customHeight="1">
      <c r="A18" s="187"/>
      <c r="B18" s="187" t="s">
        <v>422</v>
      </c>
      <c r="C18" s="187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8"/>
      <c r="BG18" s="198"/>
      <c r="BH18" s="198"/>
      <c r="BI18" s="198"/>
      <c r="BJ18" s="198"/>
      <c r="BK18" s="198"/>
      <c r="BL18" s="198"/>
      <c r="BM18" s="198"/>
      <c r="BN18" s="198"/>
      <c r="BO18" s="198"/>
      <c r="BP18" s="198"/>
      <c r="BQ18" s="198"/>
    </row>
    <row r="19" spans="1:69" ht="12.75" customHeight="1">
      <c r="A19" s="217" t="s">
        <v>461</v>
      </c>
      <c r="B19" s="218"/>
      <c r="C19" s="219">
        <f>Assumptions!I36</f>
        <v>0</v>
      </c>
      <c r="D19" s="217" t="e">
        <f t="shared" ref="D19:BQ19" si="12">ROUND(D$16*$C19,0)</f>
        <v>#VALUE!</v>
      </c>
      <c r="E19" s="217" t="e">
        <f t="shared" si="12"/>
        <v>#VALUE!</v>
      </c>
      <c r="F19" s="217" t="e">
        <f t="shared" si="12"/>
        <v>#VALUE!</v>
      </c>
      <c r="G19" s="217" t="e">
        <f t="shared" si="12"/>
        <v>#REF!</v>
      </c>
      <c r="H19" s="217" t="e">
        <f t="shared" si="12"/>
        <v>#REF!</v>
      </c>
      <c r="I19" s="217" t="e">
        <f t="shared" si="12"/>
        <v>#REF!</v>
      </c>
      <c r="J19" s="217" t="e">
        <f t="shared" si="12"/>
        <v>#REF!</v>
      </c>
      <c r="K19" s="217" t="e">
        <f t="shared" si="12"/>
        <v>#REF!</v>
      </c>
      <c r="L19" s="217" t="e">
        <f t="shared" si="12"/>
        <v>#REF!</v>
      </c>
      <c r="M19" s="217" t="e">
        <f t="shared" si="12"/>
        <v>#REF!</v>
      </c>
      <c r="N19" s="217" t="e">
        <f t="shared" si="12"/>
        <v>#REF!</v>
      </c>
      <c r="O19" s="217" t="e">
        <f t="shared" si="12"/>
        <v>#REF!</v>
      </c>
      <c r="P19" s="220" t="e">
        <f t="shared" si="12"/>
        <v>#REF!</v>
      </c>
      <c r="Q19" s="217" t="e">
        <f t="shared" si="12"/>
        <v>#REF!</v>
      </c>
      <c r="R19" s="217" t="e">
        <f t="shared" si="12"/>
        <v>#REF!</v>
      </c>
      <c r="S19" s="217" t="e">
        <f t="shared" si="12"/>
        <v>#REF!</v>
      </c>
      <c r="T19" s="217" t="e">
        <f t="shared" si="12"/>
        <v>#REF!</v>
      </c>
      <c r="U19" s="217" t="e">
        <f t="shared" si="12"/>
        <v>#REF!</v>
      </c>
      <c r="V19" s="217" t="e">
        <f t="shared" si="12"/>
        <v>#REF!</v>
      </c>
      <c r="W19" s="217" t="e">
        <f t="shared" si="12"/>
        <v>#REF!</v>
      </c>
      <c r="X19" s="217" t="e">
        <f t="shared" si="12"/>
        <v>#REF!</v>
      </c>
      <c r="Y19" s="217" t="e">
        <f t="shared" si="12"/>
        <v>#REF!</v>
      </c>
      <c r="Z19" s="217" t="e">
        <f t="shared" si="12"/>
        <v>#REF!</v>
      </c>
      <c r="AA19" s="217" t="e">
        <f t="shared" si="12"/>
        <v>#REF!</v>
      </c>
      <c r="AB19" s="217" t="e">
        <f t="shared" si="12"/>
        <v>#REF!</v>
      </c>
      <c r="AC19" s="220" t="e">
        <f t="shared" si="12"/>
        <v>#REF!</v>
      </c>
      <c r="AD19" s="217" t="e">
        <f t="shared" si="12"/>
        <v>#REF!</v>
      </c>
      <c r="AE19" s="217" t="e">
        <f t="shared" si="12"/>
        <v>#REF!</v>
      </c>
      <c r="AF19" s="217" t="e">
        <f t="shared" si="12"/>
        <v>#REF!</v>
      </c>
      <c r="AG19" s="217" t="e">
        <f t="shared" si="12"/>
        <v>#REF!</v>
      </c>
      <c r="AH19" s="217" t="e">
        <f t="shared" si="12"/>
        <v>#REF!</v>
      </c>
      <c r="AI19" s="217" t="e">
        <f t="shared" si="12"/>
        <v>#REF!</v>
      </c>
      <c r="AJ19" s="217" t="e">
        <f t="shared" si="12"/>
        <v>#REF!</v>
      </c>
      <c r="AK19" s="217" t="e">
        <f t="shared" si="12"/>
        <v>#REF!</v>
      </c>
      <c r="AL19" s="217" t="e">
        <f t="shared" si="12"/>
        <v>#REF!</v>
      </c>
      <c r="AM19" s="217" t="e">
        <f t="shared" si="12"/>
        <v>#REF!</v>
      </c>
      <c r="AN19" s="217" t="e">
        <f t="shared" si="12"/>
        <v>#REF!</v>
      </c>
      <c r="AO19" s="217" t="e">
        <f t="shared" si="12"/>
        <v>#REF!</v>
      </c>
      <c r="AP19" s="220" t="e">
        <f t="shared" si="12"/>
        <v>#REF!</v>
      </c>
      <c r="AQ19" s="217" t="e">
        <f t="shared" si="12"/>
        <v>#REF!</v>
      </c>
      <c r="AR19" s="217" t="e">
        <f t="shared" si="12"/>
        <v>#REF!</v>
      </c>
      <c r="AS19" s="217" t="e">
        <f t="shared" si="12"/>
        <v>#REF!</v>
      </c>
      <c r="AT19" s="217" t="e">
        <f t="shared" si="12"/>
        <v>#REF!</v>
      </c>
      <c r="AU19" s="217" t="e">
        <f t="shared" si="12"/>
        <v>#REF!</v>
      </c>
      <c r="AV19" s="217" t="e">
        <f t="shared" si="12"/>
        <v>#REF!</v>
      </c>
      <c r="AW19" s="217" t="e">
        <f t="shared" si="12"/>
        <v>#REF!</v>
      </c>
      <c r="AX19" s="217" t="e">
        <f t="shared" si="12"/>
        <v>#REF!</v>
      </c>
      <c r="AY19" s="217" t="e">
        <f t="shared" si="12"/>
        <v>#REF!</v>
      </c>
      <c r="AZ19" s="217" t="e">
        <f t="shared" si="12"/>
        <v>#REF!</v>
      </c>
      <c r="BA19" s="217" t="e">
        <f t="shared" si="12"/>
        <v>#REF!</v>
      </c>
      <c r="BB19" s="217" t="e">
        <f t="shared" si="12"/>
        <v>#REF!</v>
      </c>
      <c r="BC19" s="220" t="e">
        <f t="shared" si="12"/>
        <v>#REF!</v>
      </c>
      <c r="BD19" s="217" t="e">
        <f t="shared" si="12"/>
        <v>#REF!</v>
      </c>
      <c r="BE19" s="217" t="e">
        <f t="shared" si="12"/>
        <v>#REF!</v>
      </c>
      <c r="BF19" s="217" t="e">
        <f t="shared" si="12"/>
        <v>#REF!</v>
      </c>
      <c r="BG19" s="217" t="e">
        <f t="shared" si="12"/>
        <v>#REF!</v>
      </c>
      <c r="BH19" s="217" t="e">
        <f t="shared" si="12"/>
        <v>#REF!</v>
      </c>
      <c r="BI19" s="217" t="e">
        <f t="shared" si="12"/>
        <v>#REF!</v>
      </c>
      <c r="BJ19" s="217" t="e">
        <f t="shared" si="12"/>
        <v>#REF!</v>
      </c>
      <c r="BK19" s="217" t="e">
        <f t="shared" si="12"/>
        <v>#REF!</v>
      </c>
      <c r="BL19" s="217" t="e">
        <f t="shared" si="12"/>
        <v>#REF!</v>
      </c>
      <c r="BM19" s="217" t="e">
        <f t="shared" si="12"/>
        <v>#REF!</v>
      </c>
      <c r="BN19" s="217" t="e">
        <f t="shared" si="12"/>
        <v>#REF!</v>
      </c>
      <c r="BO19" s="217" t="e">
        <f t="shared" si="12"/>
        <v>#REF!</v>
      </c>
      <c r="BP19" s="220" t="e">
        <f t="shared" si="12"/>
        <v>#REF!</v>
      </c>
      <c r="BQ19" s="220" t="e">
        <f t="shared" si="12"/>
        <v>#REF!</v>
      </c>
    </row>
    <row r="20" spans="1:69" ht="12.75" customHeight="1">
      <c r="A20" s="221" t="s">
        <v>423</v>
      </c>
      <c r="B20" s="222"/>
      <c r="C20" s="223">
        <f>Assumptions!I37</f>
        <v>0</v>
      </c>
      <c r="D20" s="221" t="e">
        <f t="shared" ref="D20:BQ20" si="13">ROUND(D$16*$C20,0)</f>
        <v>#VALUE!</v>
      </c>
      <c r="E20" s="221" t="e">
        <f t="shared" si="13"/>
        <v>#VALUE!</v>
      </c>
      <c r="F20" s="221" t="e">
        <f t="shared" si="13"/>
        <v>#VALUE!</v>
      </c>
      <c r="G20" s="221" t="e">
        <f t="shared" si="13"/>
        <v>#REF!</v>
      </c>
      <c r="H20" s="221" t="e">
        <f t="shared" si="13"/>
        <v>#REF!</v>
      </c>
      <c r="I20" s="221" t="e">
        <f t="shared" si="13"/>
        <v>#REF!</v>
      </c>
      <c r="J20" s="221" t="e">
        <f t="shared" si="13"/>
        <v>#REF!</v>
      </c>
      <c r="K20" s="221" t="e">
        <f t="shared" si="13"/>
        <v>#REF!</v>
      </c>
      <c r="L20" s="221" t="e">
        <f t="shared" si="13"/>
        <v>#REF!</v>
      </c>
      <c r="M20" s="221" t="e">
        <f t="shared" si="13"/>
        <v>#REF!</v>
      </c>
      <c r="N20" s="221" t="e">
        <f t="shared" si="13"/>
        <v>#REF!</v>
      </c>
      <c r="O20" s="221" t="e">
        <f t="shared" si="13"/>
        <v>#REF!</v>
      </c>
      <c r="P20" s="224" t="e">
        <f t="shared" si="13"/>
        <v>#REF!</v>
      </c>
      <c r="Q20" s="221" t="e">
        <f t="shared" si="13"/>
        <v>#REF!</v>
      </c>
      <c r="R20" s="221" t="e">
        <f t="shared" si="13"/>
        <v>#REF!</v>
      </c>
      <c r="S20" s="221" t="e">
        <f t="shared" si="13"/>
        <v>#REF!</v>
      </c>
      <c r="T20" s="221" t="e">
        <f t="shared" si="13"/>
        <v>#REF!</v>
      </c>
      <c r="U20" s="221" t="e">
        <f t="shared" si="13"/>
        <v>#REF!</v>
      </c>
      <c r="V20" s="221" t="e">
        <f t="shared" si="13"/>
        <v>#REF!</v>
      </c>
      <c r="W20" s="221" t="e">
        <f t="shared" si="13"/>
        <v>#REF!</v>
      </c>
      <c r="X20" s="221" t="e">
        <f t="shared" si="13"/>
        <v>#REF!</v>
      </c>
      <c r="Y20" s="221" t="e">
        <f t="shared" si="13"/>
        <v>#REF!</v>
      </c>
      <c r="Z20" s="221" t="e">
        <f t="shared" si="13"/>
        <v>#REF!</v>
      </c>
      <c r="AA20" s="221" t="e">
        <f t="shared" si="13"/>
        <v>#REF!</v>
      </c>
      <c r="AB20" s="221" t="e">
        <f t="shared" si="13"/>
        <v>#REF!</v>
      </c>
      <c r="AC20" s="224" t="e">
        <f t="shared" si="13"/>
        <v>#REF!</v>
      </c>
      <c r="AD20" s="221" t="e">
        <f t="shared" si="13"/>
        <v>#REF!</v>
      </c>
      <c r="AE20" s="221" t="e">
        <f t="shared" si="13"/>
        <v>#REF!</v>
      </c>
      <c r="AF20" s="221" t="e">
        <f t="shared" si="13"/>
        <v>#REF!</v>
      </c>
      <c r="AG20" s="221" t="e">
        <f t="shared" si="13"/>
        <v>#REF!</v>
      </c>
      <c r="AH20" s="221" t="e">
        <f t="shared" si="13"/>
        <v>#REF!</v>
      </c>
      <c r="AI20" s="221" t="e">
        <f t="shared" si="13"/>
        <v>#REF!</v>
      </c>
      <c r="AJ20" s="221" t="e">
        <f t="shared" si="13"/>
        <v>#REF!</v>
      </c>
      <c r="AK20" s="221" t="e">
        <f t="shared" si="13"/>
        <v>#REF!</v>
      </c>
      <c r="AL20" s="221" t="e">
        <f t="shared" si="13"/>
        <v>#REF!</v>
      </c>
      <c r="AM20" s="221" t="e">
        <f t="shared" si="13"/>
        <v>#REF!</v>
      </c>
      <c r="AN20" s="221" t="e">
        <f t="shared" si="13"/>
        <v>#REF!</v>
      </c>
      <c r="AO20" s="221" t="e">
        <f t="shared" si="13"/>
        <v>#REF!</v>
      </c>
      <c r="AP20" s="224" t="e">
        <f t="shared" si="13"/>
        <v>#REF!</v>
      </c>
      <c r="AQ20" s="221" t="e">
        <f t="shared" si="13"/>
        <v>#REF!</v>
      </c>
      <c r="AR20" s="221" t="e">
        <f t="shared" si="13"/>
        <v>#REF!</v>
      </c>
      <c r="AS20" s="221" t="e">
        <f t="shared" si="13"/>
        <v>#REF!</v>
      </c>
      <c r="AT20" s="221" t="e">
        <f t="shared" si="13"/>
        <v>#REF!</v>
      </c>
      <c r="AU20" s="221" t="e">
        <f t="shared" si="13"/>
        <v>#REF!</v>
      </c>
      <c r="AV20" s="221" t="e">
        <f t="shared" si="13"/>
        <v>#REF!</v>
      </c>
      <c r="AW20" s="221" t="e">
        <f t="shared" si="13"/>
        <v>#REF!</v>
      </c>
      <c r="AX20" s="221" t="e">
        <f t="shared" si="13"/>
        <v>#REF!</v>
      </c>
      <c r="AY20" s="221" t="e">
        <f t="shared" si="13"/>
        <v>#REF!</v>
      </c>
      <c r="AZ20" s="221" t="e">
        <f t="shared" si="13"/>
        <v>#REF!</v>
      </c>
      <c r="BA20" s="221" t="e">
        <f t="shared" si="13"/>
        <v>#REF!</v>
      </c>
      <c r="BB20" s="221" t="e">
        <f t="shared" si="13"/>
        <v>#REF!</v>
      </c>
      <c r="BC20" s="224" t="e">
        <f t="shared" si="13"/>
        <v>#REF!</v>
      </c>
      <c r="BD20" s="221" t="e">
        <f t="shared" si="13"/>
        <v>#REF!</v>
      </c>
      <c r="BE20" s="221" t="e">
        <f t="shared" si="13"/>
        <v>#REF!</v>
      </c>
      <c r="BF20" s="221" t="e">
        <f t="shared" si="13"/>
        <v>#REF!</v>
      </c>
      <c r="BG20" s="221" t="e">
        <f t="shared" si="13"/>
        <v>#REF!</v>
      </c>
      <c r="BH20" s="221" t="e">
        <f t="shared" si="13"/>
        <v>#REF!</v>
      </c>
      <c r="BI20" s="221" t="e">
        <f t="shared" si="13"/>
        <v>#REF!</v>
      </c>
      <c r="BJ20" s="221" t="e">
        <f t="shared" si="13"/>
        <v>#REF!</v>
      </c>
      <c r="BK20" s="221" t="e">
        <f t="shared" si="13"/>
        <v>#REF!</v>
      </c>
      <c r="BL20" s="221" t="e">
        <f t="shared" si="13"/>
        <v>#REF!</v>
      </c>
      <c r="BM20" s="221" t="e">
        <f t="shared" si="13"/>
        <v>#REF!</v>
      </c>
      <c r="BN20" s="221" t="e">
        <f t="shared" si="13"/>
        <v>#REF!</v>
      </c>
      <c r="BO20" s="221" t="e">
        <f t="shared" si="13"/>
        <v>#REF!</v>
      </c>
      <c r="BP20" s="224" t="e">
        <f t="shared" si="13"/>
        <v>#REF!</v>
      </c>
      <c r="BQ20" s="224" t="e">
        <f t="shared" si="13"/>
        <v>#REF!</v>
      </c>
    </row>
    <row r="21" spans="1:69" ht="12.75" customHeight="1">
      <c r="A21" s="225" t="s">
        <v>424</v>
      </c>
      <c r="B21" s="226"/>
      <c r="C21" s="227">
        <f>Assumptions!I38</f>
        <v>0</v>
      </c>
      <c r="D21" s="225" t="e">
        <f t="shared" ref="D21:BQ21" si="14">ROUND(D$16*$C21,0)</f>
        <v>#VALUE!</v>
      </c>
      <c r="E21" s="225" t="e">
        <f t="shared" si="14"/>
        <v>#VALUE!</v>
      </c>
      <c r="F21" s="225" t="e">
        <f t="shared" si="14"/>
        <v>#VALUE!</v>
      </c>
      <c r="G21" s="225" t="e">
        <f t="shared" si="14"/>
        <v>#REF!</v>
      </c>
      <c r="H21" s="225" t="e">
        <f t="shared" si="14"/>
        <v>#REF!</v>
      </c>
      <c r="I21" s="225" t="e">
        <f t="shared" si="14"/>
        <v>#REF!</v>
      </c>
      <c r="J21" s="225" t="e">
        <f t="shared" si="14"/>
        <v>#REF!</v>
      </c>
      <c r="K21" s="225" t="e">
        <f t="shared" si="14"/>
        <v>#REF!</v>
      </c>
      <c r="L21" s="225" t="e">
        <f t="shared" si="14"/>
        <v>#REF!</v>
      </c>
      <c r="M21" s="225" t="e">
        <f t="shared" si="14"/>
        <v>#REF!</v>
      </c>
      <c r="N21" s="225" t="e">
        <f t="shared" si="14"/>
        <v>#REF!</v>
      </c>
      <c r="O21" s="225" t="e">
        <f t="shared" si="14"/>
        <v>#REF!</v>
      </c>
      <c r="P21" s="228" t="e">
        <f t="shared" si="14"/>
        <v>#REF!</v>
      </c>
      <c r="Q21" s="225" t="e">
        <f t="shared" si="14"/>
        <v>#REF!</v>
      </c>
      <c r="R21" s="225" t="e">
        <f t="shared" si="14"/>
        <v>#REF!</v>
      </c>
      <c r="S21" s="225" t="e">
        <f t="shared" si="14"/>
        <v>#REF!</v>
      </c>
      <c r="T21" s="225" t="e">
        <f t="shared" si="14"/>
        <v>#REF!</v>
      </c>
      <c r="U21" s="225" t="e">
        <f t="shared" si="14"/>
        <v>#REF!</v>
      </c>
      <c r="V21" s="225" t="e">
        <f t="shared" si="14"/>
        <v>#REF!</v>
      </c>
      <c r="W21" s="225" t="e">
        <f t="shared" si="14"/>
        <v>#REF!</v>
      </c>
      <c r="X21" s="225" t="e">
        <f t="shared" si="14"/>
        <v>#REF!</v>
      </c>
      <c r="Y21" s="225" t="e">
        <f t="shared" si="14"/>
        <v>#REF!</v>
      </c>
      <c r="Z21" s="225" t="e">
        <f t="shared" si="14"/>
        <v>#REF!</v>
      </c>
      <c r="AA21" s="225" t="e">
        <f t="shared" si="14"/>
        <v>#REF!</v>
      </c>
      <c r="AB21" s="225" t="e">
        <f t="shared" si="14"/>
        <v>#REF!</v>
      </c>
      <c r="AC21" s="228" t="e">
        <f t="shared" si="14"/>
        <v>#REF!</v>
      </c>
      <c r="AD21" s="225" t="e">
        <f t="shared" si="14"/>
        <v>#REF!</v>
      </c>
      <c r="AE21" s="225" t="e">
        <f t="shared" si="14"/>
        <v>#REF!</v>
      </c>
      <c r="AF21" s="225" t="e">
        <f t="shared" si="14"/>
        <v>#REF!</v>
      </c>
      <c r="AG21" s="225" t="e">
        <f t="shared" si="14"/>
        <v>#REF!</v>
      </c>
      <c r="AH21" s="225" t="e">
        <f t="shared" si="14"/>
        <v>#REF!</v>
      </c>
      <c r="AI21" s="225" t="e">
        <f t="shared" si="14"/>
        <v>#REF!</v>
      </c>
      <c r="AJ21" s="225" t="e">
        <f t="shared" si="14"/>
        <v>#REF!</v>
      </c>
      <c r="AK21" s="225" t="e">
        <f t="shared" si="14"/>
        <v>#REF!</v>
      </c>
      <c r="AL21" s="225" t="e">
        <f t="shared" si="14"/>
        <v>#REF!</v>
      </c>
      <c r="AM21" s="225" t="e">
        <f t="shared" si="14"/>
        <v>#REF!</v>
      </c>
      <c r="AN21" s="225" t="e">
        <f t="shared" si="14"/>
        <v>#REF!</v>
      </c>
      <c r="AO21" s="225" t="e">
        <f t="shared" si="14"/>
        <v>#REF!</v>
      </c>
      <c r="AP21" s="228" t="e">
        <f t="shared" si="14"/>
        <v>#REF!</v>
      </c>
      <c r="AQ21" s="225" t="e">
        <f t="shared" si="14"/>
        <v>#REF!</v>
      </c>
      <c r="AR21" s="225" t="e">
        <f t="shared" si="14"/>
        <v>#REF!</v>
      </c>
      <c r="AS21" s="225" t="e">
        <f t="shared" si="14"/>
        <v>#REF!</v>
      </c>
      <c r="AT21" s="225" t="e">
        <f t="shared" si="14"/>
        <v>#REF!</v>
      </c>
      <c r="AU21" s="225" t="e">
        <f t="shared" si="14"/>
        <v>#REF!</v>
      </c>
      <c r="AV21" s="225" t="e">
        <f t="shared" si="14"/>
        <v>#REF!</v>
      </c>
      <c r="AW21" s="225" t="e">
        <f t="shared" si="14"/>
        <v>#REF!</v>
      </c>
      <c r="AX21" s="225" t="e">
        <f t="shared" si="14"/>
        <v>#REF!</v>
      </c>
      <c r="AY21" s="225" t="e">
        <f t="shared" si="14"/>
        <v>#REF!</v>
      </c>
      <c r="AZ21" s="225" t="e">
        <f t="shared" si="14"/>
        <v>#REF!</v>
      </c>
      <c r="BA21" s="225" t="e">
        <f t="shared" si="14"/>
        <v>#REF!</v>
      </c>
      <c r="BB21" s="225" t="e">
        <f t="shared" si="14"/>
        <v>#REF!</v>
      </c>
      <c r="BC21" s="228" t="e">
        <f t="shared" si="14"/>
        <v>#REF!</v>
      </c>
      <c r="BD21" s="225" t="e">
        <f t="shared" si="14"/>
        <v>#REF!</v>
      </c>
      <c r="BE21" s="225" t="e">
        <f t="shared" si="14"/>
        <v>#REF!</v>
      </c>
      <c r="BF21" s="225" t="e">
        <f t="shared" si="14"/>
        <v>#REF!</v>
      </c>
      <c r="BG21" s="225" t="e">
        <f t="shared" si="14"/>
        <v>#REF!</v>
      </c>
      <c r="BH21" s="225" t="e">
        <f t="shared" si="14"/>
        <v>#REF!</v>
      </c>
      <c r="BI21" s="225" t="e">
        <f t="shared" si="14"/>
        <v>#REF!</v>
      </c>
      <c r="BJ21" s="225" t="e">
        <f t="shared" si="14"/>
        <v>#REF!</v>
      </c>
      <c r="BK21" s="225" t="e">
        <f t="shared" si="14"/>
        <v>#REF!</v>
      </c>
      <c r="BL21" s="225" t="e">
        <f t="shared" si="14"/>
        <v>#REF!</v>
      </c>
      <c r="BM21" s="225" t="e">
        <f t="shared" si="14"/>
        <v>#REF!</v>
      </c>
      <c r="BN21" s="225" t="e">
        <f t="shared" si="14"/>
        <v>#REF!</v>
      </c>
      <c r="BO21" s="225" t="e">
        <f t="shared" si="14"/>
        <v>#REF!</v>
      </c>
      <c r="BP21" s="228" t="e">
        <f t="shared" si="14"/>
        <v>#REF!</v>
      </c>
      <c r="BQ21" s="228" t="e">
        <f t="shared" si="14"/>
        <v>#REF!</v>
      </c>
    </row>
    <row r="22" spans="1:69" ht="12.75" customHeight="1">
      <c r="A22" s="229" t="s">
        <v>131</v>
      </c>
      <c r="B22" s="230"/>
      <c r="C22" s="231">
        <f>Assumptions!I39</f>
        <v>0</v>
      </c>
      <c r="D22" s="229" t="e">
        <f t="shared" ref="D22:BQ22" si="15">ROUND(D$16*$C22,0)</f>
        <v>#VALUE!</v>
      </c>
      <c r="E22" s="229" t="e">
        <f t="shared" si="15"/>
        <v>#VALUE!</v>
      </c>
      <c r="F22" s="229" t="e">
        <f t="shared" si="15"/>
        <v>#VALUE!</v>
      </c>
      <c r="G22" s="229" t="e">
        <f t="shared" si="15"/>
        <v>#REF!</v>
      </c>
      <c r="H22" s="229" t="e">
        <f t="shared" si="15"/>
        <v>#REF!</v>
      </c>
      <c r="I22" s="229" t="e">
        <f t="shared" si="15"/>
        <v>#REF!</v>
      </c>
      <c r="J22" s="229" t="e">
        <f t="shared" si="15"/>
        <v>#REF!</v>
      </c>
      <c r="K22" s="229" t="e">
        <f t="shared" si="15"/>
        <v>#REF!</v>
      </c>
      <c r="L22" s="229" t="e">
        <f t="shared" si="15"/>
        <v>#REF!</v>
      </c>
      <c r="M22" s="229" t="e">
        <f t="shared" si="15"/>
        <v>#REF!</v>
      </c>
      <c r="N22" s="229" t="e">
        <f t="shared" si="15"/>
        <v>#REF!</v>
      </c>
      <c r="O22" s="229" t="e">
        <f t="shared" si="15"/>
        <v>#REF!</v>
      </c>
      <c r="P22" s="232" t="e">
        <f t="shared" si="15"/>
        <v>#REF!</v>
      </c>
      <c r="Q22" s="229" t="e">
        <f t="shared" si="15"/>
        <v>#REF!</v>
      </c>
      <c r="R22" s="229" t="e">
        <f t="shared" si="15"/>
        <v>#REF!</v>
      </c>
      <c r="S22" s="229" t="e">
        <f t="shared" si="15"/>
        <v>#REF!</v>
      </c>
      <c r="T22" s="229" t="e">
        <f t="shared" si="15"/>
        <v>#REF!</v>
      </c>
      <c r="U22" s="229" t="e">
        <f t="shared" si="15"/>
        <v>#REF!</v>
      </c>
      <c r="V22" s="229" t="e">
        <f t="shared" si="15"/>
        <v>#REF!</v>
      </c>
      <c r="W22" s="229" t="e">
        <f t="shared" si="15"/>
        <v>#REF!</v>
      </c>
      <c r="X22" s="229" t="e">
        <f t="shared" si="15"/>
        <v>#REF!</v>
      </c>
      <c r="Y22" s="229" t="e">
        <f t="shared" si="15"/>
        <v>#REF!</v>
      </c>
      <c r="Z22" s="229" t="e">
        <f t="shared" si="15"/>
        <v>#REF!</v>
      </c>
      <c r="AA22" s="229" t="e">
        <f t="shared" si="15"/>
        <v>#REF!</v>
      </c>
      <c r="AB22" s="229" t="e">
        <f t="shared" si="15"/>
        <v>#REF!</v>
      </c>
      <c r="AC22" s="232" t="e">
        <f t="shared" si="15"/>
        <v>#REF!</v>
      </c>
      <c r="AD22" s="229" t="e">
        <f t="shared" si="15"/>
        <v>#REF!</v>
      </c>
      <c r="AE22" s="229" t="e">
        <f t="shared" si="15"/>
        <v>#REF!</v>
      </c>
      <c r="AF22" s="229" t="e">
        <f t="shared" si="15"/>
        <v>#REF!</v>
      </c>
      <c r="AG22" s="229" t="e">
        <f t="shared" si="15"/>
        <v>#REF!</v>
      </c>
      <c r="AH22" s="229" t="e">
        <f t="shared" si="15"/>
        <v>#REF!</v>
      </c>
      <c r="AI22" s="229" t="e">
        <f t="shared" si="15"/>
        <v>#REF!</v>
      </c>
      <c r="AJ22" s="229" t="e">
        <f t="shared" si="15"/>
        <v>#REF!</v>
      </c>
      <c r="AK22" s="229" t="e">
        <f t="shared" si="15"/>
        <v>#REF!</v>
      </c>
      <c r="AL22" s="229" t="e">
        <f t="shared" si="15"/>
        <v>#REF!</v>
      </c>
      <c r="AM22" s="229" t="e">
        <f t="shared" si="15"/>
        <v>#REF!</v>
      </c>
      <c r="AN22" s="229" t="e">
        <f t="shared" si="15"/>
        <v>#REF!</v>
      </c>
      <c r="AO22" s="229" t="e">
        <f t="shared" si="15"/>
        <v>#REF!</v>
      </c>
      <c r="AP22" s="232" t="e">
        <f t="shared" si="15"/>
        <v>#REF!</v>
      </c>
      <c r="AQ22" s="229" t="e">
        <f t="shared" si="15"/>
        <v>#REF!</v>
      </c>
      <c r="AR22" s="229" t="e">
        <f t="shared" si="15"/>
        <v>#REF!</v>
      </c>
      <c r="AS22" s="229" t="e">
        <f t="shared" si="15"/>
        <v>#REF!</v>
      </c>
      <c r="AT22" s="229" t="e">
        <f t="shared" si="15"/>
        <v>#REF!</v>
      </c>
      <c r="AU22" s="229" t="e">
        <f t="shared" si="15"/>
        <v>#REF!</v>
      </c>
      <c r="AV22" s="229" t="e">
        <f t="shared" si="15"/>
        <v>#REF!</v>
      </c>
      <c r="AW22" s="229" t="e">
        <f t="shared" si="15"/>
        <v>#REF!</v>
      </c>
      <c r="AX22" s="229" t="e">
        <f t="shared" si="15"/>
        <v>#REF!</v>
      </c>
      <c r="AY22" s="229" t="e">
        <f t="shared" si="15"/>
        <v>#REF!</v>
      </c>
      <c r="AZ22" s="229" t="e">
        <f t="shared" si="15"/>
        <v>#REF!</v>
      </c>
      <c r="BA22" s="229" t="e">
        <f t="shared" si="15"/>
        <v>#REF!</v>
      </c>
      <c r="BB22" s="229" t="e">
        <f t="shared" si="15"/>
        <v>#REF!</v>
      </c>
      <c r="BC22" s="232" t="e">
        <f t="shared" si="15"/>
        <v>#REF!</v>
      </c>
      <c r="BD22" s="229" t="e">
        <f t="shared" si="15"/>
        <v>#REF!</v>
      </c>
      <c r="BE22" s="229" t="e">
        <f t="shared" si="15"/>
        <v>#REF!</v>
      </c>
      <c r="BF22" s="229" t="e">
        <f t="shared" si="15"/>
        <v>#REF!</v>
      </c>
      <c r="BG22" s="229" t="e">
        <f t="shared" si="15"/>
        <v>#REF!</v>
      </c>
      <c r="BH22" s="229" t="e">
        <f t="shared" si="15"/>
        <v>#REF!</v>
      </c>
      <c r="BI22" s="229" t="e">
        <f t="shared" si="15"/>
        <v>#REF!</v>
      </c>
      <c r="BJ22" s="229" t="e">
        <f t="shared" si="15"/>
        <v>#REF!</v>
      </c>
      <c r="BK22" s="229" t="e">
        <f t="shared" si="15"/>
        <v>#REF!</v>
      </c>
      <c r="BL22" s="229" t="e">
        <f t="shared" si="15"/>
        <v>#REF!</v>
      </c>
      <c r="BM22" s="229" t="e">
        <f t="shared" si="15"/>
        <v>#REF!</v>
      </c>
      <c r="BN22" s="229" t="e">
        <f t="shared" si="15"/>
        <v>#REF!</v>
      </c>
      <c r="BO22" s="229" t="e">
        <f t="shared" si="15"/>
        <v>#REF!</v>
      </c>
      <c r="BP22" s="232" t="e">
        <f t="shared" si="15"/>
        <v>#REF!</v>
      </c>
      <c r="BQ22" s="232" t="e">
        <f t="shared" si="15"/>
        <v>#REF!</v>
      </c>
    </row>
    <row r="23" spans="1:69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6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</row>
    <row r="24" spans="1:69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62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  <c r="BL24" s="162"/>
      <c r="BM24" s="162"/>
      <c r="BN24" s="162"/>
      <c r="BO24" s="162"/>
      <c r="BP24" s="162"/>
      <c r="BQ24" s="162"/>
    </row>
    <row r="25" spans="1:69" ht="12.75" hidden="1" customHeight="1">
      <c r="A25" s="1" t="s">
        <v>510</v>
      </c>
      <c r="B25" s="1"/>
      <c r="C25" s="1"/>
      <c r="D25" s="285" t="e">
        <f t="shared" ref="D25:BQ25" si="16">ROUND(D20/D6,0)</f>
        <v>#VALUE!</v>
      </c>
      <c r="E25" s="285" t="e">
        <f t="shared" si="16"/>
        <v>#VALUE!</v>
      </c>
      <c r="F25" s="285" t="e">
        <f t="shared" si="16"/>
        <v>#VALUE!</v>
      </c>
      <c r="G25" s="285" t="e">
        <f t="shared" si="16"/>
        <v>#REF!</v>
      </c>
      <c r="H25" s="285" t="e">
        <f t="shared" si="16"/>
        <v>#REF!</v>
      </c>
      <c r="I25" s="285" t="e">
        <f t="shared" si="16"/>
        <v>#REF!</v>
      </c>
      <c r="J25" s="285" t="e">
        <f t="shared" si="16"/>
        <v>#REF!</v>
      </c>
      <c r="K25" s="285" t="e">
        <f t="shared" si="16"/>
        <v>#REF!</v>
      </c>
      <c r="L25" s="285" t="e">
        <f t="shared" si="16"/>
        <v>#REF!</v>
      </c>
      <c r="M25" s="285" t="e">
        <f t="shared" si="16"/>
        <v>#REF!</v>
      </c>
      <c r="N25" s="285" t="e">
        <f t="shared" si="16"/>
        <v>#REF!</v>
      </c>
      <c r="O25" s="285" t="e">
        <f t="shared" si="16"/>
        <v>#REF!</v>
      </c>
      <c r="P25" s="285" t="e">
        <f t="shared" si="16"/>
        <v>#REF!</v>
      </c>
      <c r="Q25" s="285" t="e">
        <f t="shared" si="16"/>
        <v>#REF!</v>
      </c>
      <c r="R25" s="285" t="e">
        <f t="shared" si="16"/>
        <v>#REF!</v>
      </c>
      <c r="S25" s="285" t="e">
        <f t="shared" si="16"/>
        <v>#REF!</v>
      </c>
      <c r="T25" s="285" t="e">
        <f t="shared" si="16"/>
        <v>#REF!</v>
      </c>
      <c r="U25" s="285" t="e">
        <f t="shared" si="16"/>
        <v>#REF!</v>
      </c>
      <c r="V25" s="285" t="e">
        <f t="shared" si="16"/>
        <v>#REF!</v>
      </c>
      <c r="W25" s="285" t="e">
        <f t="shared" si="16"/>
        <v>#REF!</v>
      </c>
      <c r="X25" s="285" t="e">
        <f t="shared" si="16"/>
        <v>#REF!</v>
      </c>
      <c r="Y25" s="285" t="e">
        <f t="shared" si="16"/>
        <v>#REF!</v>
      </c>
      <c r="Z25" s="285" t="e">
        <f t="shared" si="16"/>
        <v>#REF!</v>
      </c>
      <c r="AA25" s="285" t="e">
        <f t="shared" si="16"/>
        <v>#REF!</v>
      </c>
      <c r="AB25" s="285" t="e">
        <f t="shared" si="16"/>
        <v>#REF!</v>
      </c>
      <c r="AC25" s="285" t="e">
        <f t="shared" si="16"/>
        <v>#REF!</v>
      </c>
      <c r="AD25" s="285" t="e">
        <f t="shared" si="16"/>
        <v>#REF!</v>
      </c>
      <c r="AE25" s="285" t="e">
        <f t="shared" si="16"/>
        <v>#REF!</v>
      </c>
      <c r="AF25" s="285" t="e">
        <f t="shared" si="16"/>
        <v>#REF!</v>
      </c>
      <c r="AG25" s="285" t="e">
        <f t="shared" si="16"/>
        <v>#REF!</v>
      </c>
      <c r="AH25" s="285" t="e">
        <f t="shared" si="16"/>
        <v>#REF!</v>
      </c>
      <c r="AI25" s="285" t="e">
        <f t="shared" si="16"/>
        <v>#REF!</v>
      </c>
      <c r="AJ25" s="285" t="e">
        <f t="shared" si="16"/>
        <v>#REF!</v>
      </c>
      <c r="AK25" s="285" t="e">
        <f t="shared" si="16"/>
        <v>#REF!</v>
      </c>
      <c r="AL25" s="285" t="e">
        <f t="shared" si="16"/>
        <v>#REF!</v>
      </c>
      <c r="AM25" s="285" t="e">
        <f t="shared" si="16"/>
        <v>#REF!</v>
      </c>
      <c r="AN25" s="285" t="e">
        <f t="shared" si="16"/>
        <v>#REF!</v>
      </c>
      <c r="AO25" s="285" t="e">
        <f t="shared" si="16"/>
        <v>#REF!</v>
      </c>
      <c r="AP25" s="285" t="e">
        <f t="shared" si="16"/>
        <v>#REF!</v>
      </c>
      <c r="AQ25" s="285" t="e">
        <f t="shared" si="16"/>
        <v>#REF!</v>
      </c>
      <c r="AR25" s="285" t="e">
        <f t="shared" si="16"/>
        <v>#REF!</v>
      </c>
      <c r="AS25" s="285" t="e">
        <f t="shared" si="16"/>
        <v>#REF!</v>
      </c>
      <c r="AT25" s="285" t="e">
        <f t="shared" si="16"/>
        <v>#REF!</v>
      </c>
      <c r="AU25" s="285" t="e">
        <f t="shared" si="16"/>
        <v>#REF!</v>
      </c>
      <c r="AV25" s="285" t="e">
        <f t="shared" si="16"/>
        <v>#REF!</v>
      </c>
      <c r="AW25" s="285" t="e">
        <f t="shared" si="16"/>
        <v>#REF!</v>
      </c>
      <c r="AX25" s="285" t="e">
        <f t="shared" si="16"/>
        <v>#REF!</v>
      </c>
      <c r="AY25" s="285" t="e">
        <f t="shared" si="16"/>
        <v>#REF!</v>
      </c>
      <c r="AZ25" s="285" t="e">
        <f t="shared" si="16"/>
        <v>#REF!</v>
      </c>
      <c r="BA25" s="285" t="e">
        <f t="shared" si="16"/>
        <v>#REF!</v>
      </c>
      <c r="BB25" s="285" t="e">
        <f t="shared" si="16"/>
        <v>#REF!</v>
      </c>
      <c r="BC25" s="285" t="e">
        <f t="shared" si="16"/>
        <v>#REF!</v>
      </c>
      <c r="BD25" s="285" t="e">
        <f t="shared" si="16"/>
        <v>#REF!</v>
      </c>
      <c r="BE25" s="285" t="e">
        <f t="shared" si="16"/>
        <v>#REF!</v>
      </c>
      <c r="BF25" s="285" t="e">
        <f t="shared" si="16"/>
        <v>#REF!</v>
      </c>
      <c r="BG25" s="285" t="e">
        <f t="shared" si="16"/>
        <v>#REF!</v>
      </c>
      <c r="BH25" s="285" t="e">
        <f t="shared" si="16"/>
        <v>#REF!</v>
      </c>
      <c r="BI25" s="285" t="e">
        <f t="shared" si="16"/>
        <v>#REF!</v>
      </c>
      <c r="BJ25" s="285" t="e">
        <f t="shared" si="16"/>
        <v>#REF!</v>
      </c>
      <c r="BK25" s="285" t="e">
        <f t="shared" si="16"/>
        <v>#REF!</v>
      </c>
      <c r="BL25" s="285" t="e">
        <f t="shared" si="16"/>
        <v>#REF!</v>
      </c>
      <c r="BM25" s="285" t="e">
        <f t="shared" si="16"/>
        <v>#REF!</v>
      </c>
      <c r="BN25" s="285" t="e">
        <f t="shared" si="16"/>
        <v>#REF!</v>
      </c>
      <c r="BO25" s="285" t="e">
        <f t="shared" si="16"/>
        <v>#REF!</v>
      </c>
      <c r="BP25" s="285" t="e">
        <f t="shared" si="16"/>
        <v>#REF!</v>
      </c>
      <c r="BQ25" s="285" t="e">
        <f t="shared" si="16"/>
        <v>#REF!</v>
      </c>
    </row>
  </sheetData>
  <mergeCells count="1">
    <mergeCell ref="A1:B1"/>
  </mergeCells>
  <pageMargins left="0.7" right="0.7" top="0.75" bottom="0.75" header="0" footer="0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Q2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2.5" defaultRowHeight="15" customHeight="1"/>
  <cols>
    <col min="1" max="1" width="2.1640625" customWidth="1"/>
    <col min="2" max="3" width="33.5" customWidth="1"/>
    <col min="4" max="23" width="11.5" customWidth="1"/>
    <col min="24" max="24" width="13.33203125" customWidth="1"/>
    <col min="25" max="41" width="11.5" customWidth="1"/>
    <col min="42" max="68" width="14.6640625" customWidth="1"/>
    <col min="69" max="69" width="13.5" customWidth="1"/>
    <col min="70" max="89" width="8" customWidth="1"/>
  </cols>
  <sheetData>
    <row r="1" spans="1:69" ht="12.75" customHeight="1">
      <c r="A1" s="1120" t="s">
        <v>197</v>
      </c>
      <c r="B1" s="1121"/>
      <c r="C1" s="14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62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</row>
    <row r="2" spans="1:69" ht="12.75" customHeight="1">
      <c r="A2" s="26"/>
      <c r="B2" s="1"/>
      <c r="C2" s="1"/>
      <c r="D2" s="1"/>
      <c r="E2" s="1"/>
      <c r="F2" s="1"/>
      <c r="G2" s="28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6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</row>
    <row r="3" spans="1:69" ht="12.75" customHeight="1">
      <c r="A3" s="1"/>
      <c r="B3" s="1"/>
      <c r="C3" s="1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62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</row>
    <row r="4" spans="1:69" ht="12.75" customHeight="1">
      <c r="A4" s="184"/>
      <c r="B4" s="184"/>
      <c r="C4" s="184"/>
      <c r="D4" s="185" t="s">
        <v>49</v>
      </c>
      <c r="E4" s="185" t="s">
        <v>50</v>
      </c>
      <c r="F4" s="185" t="s">
        <v>51</v>
      </c>
      <c r="G4" s="185" t="s">
        <v>52</v>
      </c>
      <c r="H4" s="185" t="s">
        <v>53</v>
      </c>
      <c r="I4" s="185" t="s">
        <v>54</v>
      </c>
      <c r="J4" s="185" t="s">
        <v>55</v>
      </c>
      <c r="K4" s="185" t="s">
        <v>56</v>
      </c>
      <c r="L4" s="185" t="s">
        <v>57</v>
      </c>
      <c r="M4" s="185" t="s">
        <v>58</v>
      </c>
      <c r="N4" s="185" t="s">
        <v>59</v>
      </c>
      <c r="O4" s="185" t="s">
        <v>60</v>
      </c>
      <c r="P4" s="186" t="s">
        <v>65</v>
      </c>
      <c r="Q4" s="185" t="s">
        <v>291</v>
      </c>
      <c r="R4" s="185" t="s">
        <v>308</v>
      </c>
      <c r="S4" s="185" t="s">
        <v>309</v>
      </c>
      <c r="T4" s="185" t="s">
        <v>310</v>
      </c>
      <c r="U4" s="185" t="s">
        <v>311</v>
      </c>
      <c r="V4" s="185" t="s">
        <v>312</v>
      </c>
      <c r="W4" s="185" t="s">
        <v>313</v>
      </c>
      <c r="X4" s="185" t="s">
        <v>314</v>
      </c>
      <c r="Y4" s="185" t="s">
        <v>315</v>
      </c>
      <c r="Z4" s="185" t="s">
        <v>316</v>
      </c>
      <c r="AA4" s="185" t="s">
        <v>317</v>
      </c>
      <c r="AB4" s="185" t="s">
        <v>318</v>
      </c>
      <c r="AC4" s="186" t="s">
        <v>121</v>
      </c>
      <c r="AD4" s="185" t="s">
        <v>319</v>
      </c>
      <c r="AE4" s="185" t="s">
        <v>320</v>
      </c>
      <c r="AF4" s="185" t="s">
        <v>321</v>
      </c>
      <c r="AG4" s="185" t="s">
        <v>322</v>
      </c>
      <c r="AH4" s="185" t="s">
        <v>323</v>
      </c>
      <c r="AI4" s="185" t="s">
        <v>324</v>
      </c>
      <c r="AJ4" s="185" t="s">
        <v>325</v>
      </c>
      <c r="AK4" s="185" t="s">
        <v>326</v>
      </c>
      <c r="AL4" s="185" t="s">
        <v>327</v>
      </c>
      <c r="AM4" s="185" t="s">
        <v>328</v>
      </c>
      <c r="AN4" s="185" t="s">
        <v>329</v>
      </c>
      <c r="AO4" s="185" t="s">
        <v>330</v>
      </c>
      <c r="AP4" s="186" t="s">
        <v>122</v>
      </c>
      <c r="AQ4" s="185" t="s">
        <v>331</v>
      </c>
      <c r="AR4" s="185" t="s">
        <v>332</v>
      </c>
      <c r="AS4" s="185" t="s">
        <v>333</v>
      </c>
      <c r="AT4" s="185" t="s">
        <v>334</v>
      </c>
      <c r="AU4" s="185" t="s">
        <v>335</v>
      </c>
      <c r="AV4" s="185" t="s">
        <v>336</v>
      </c>
      <c r="AW4" s="185" t="s">
        <v>337</v>
      </c>
      <c r="AX4" s="185" t="s">
        <v>338</v>
      </c>
      <c r="AY4" s="185" t="s">
        <v>339</v>
      </c>
      <c r="AZ4" s="185" t="s">
        <v>340</v>
      </c>
      <c r="BA4" s="185" t="s">
        <v>341</v>
      </c>
      <c r="BB4" s="185" t="s">
        <v>342</v>
      </c>
      <c r="BC4" s="186" t="s">
        <v>123</v>
      </c>
      <c r="BD4" s="185" t="s">
        <v>343</v>
      </c>
      <c r="BE4" s="185" t="s">
        <v>344</v>
      </c>
      <c r="BF4" s="185" t="s">
        <v>345</v>
      </c>
      <c r="BG4" s="185" t="s">
        <v>346</v>
      </c>
      <c r="BH4" s="185" t="s">
        <v>347</v>
      </c>
      <c r="BI4" s="185" t="s">
        <v>348</v>
      </c>
      <c r="BJ4" s="185" t="s">
        <v>349</v>
      </c>
      <c r="BK4" s="185" t="s">
        <v>350</v>
      </c>
      <c r="BL4" s="185" t="s">
        <v>351</v>
      </c>
      <c r="BM4" s="185" t="s">
        <v>352</v>
      </c>
      <c r="BN4" s="185" t="s">
        <v>353</v>
      </c>
      <c r="BO4" s="185" t="s">
        <v>354</v>
      </c>
      <c r="BP4" s="186" t="s">
        <v>124</v>
      </c>
      <c r="BQ4" s="236" t="s">
        <v>460</v>
      </c>
    </row>
    <row r="5" spans="1:69" ht="12.75" customHeight="1">
      <c r="A5" s="187"/>
      <c r="B5" s="187" t="s">
        <v>20</v>
      </c>
      <c r="C5" s="187"/>
      <c r="D5" s="188"/>
      <c r="E5" s="188"/>
      <c r="F5" s="188"/>
      <c r="G5" s="189"/>
      <c r="H5" s="189"/>
      <c r="I5" s="189"/>
      <c r="J5" s="189"/>
      <c r="K5" s="189"/>
      <c r="L5" s="189"/>
      <c r="M5" s="189"/>
      <c r="N5" s="189"/>
      <c r="O5" s="189"/>
      <c r="P5" s="190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90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90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90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90"/>
      <c r="BQ5" s="237"/>
    </row>
    <row r="6" spans="1:69" ht="12.75" customHeight="1">
      <c r="A6" s="1"/>
      <c r="B6" s="162" t="s">
        <v>511</v>
      </c>
      <c r="C6" s="162"/>
      <c r="D6" s="282">
        <f>'Inside Card Rev'!D6</f>
        <v>0</v>
      </c>
      <c r="E6" s="282">
        <f>'Inside Card Rev'!E6</f>
        <v>0</v>
      </c>
      <c r="F6" s="282">
        <f>'Inside Card Rev'!F6</f>
        <v>0</v>
      </c>
      <c r="G6" s="282" t="e">
        <f>'Inside Card Rev'!G6</f>
        <v>#REF!</v>
      </c>
      <c r="H6" s="282" t="e">
        <f>'Inside Card Rev'!H6</f>
        <v>#REF!</v>
      </c>
      <c r="I6" s="282" t="e">
        <f>'Inside Card Rev'!I6</f>
        <v>#REF!</v>
      </c>
      <c r="J6" s="282" t="e">
        <f>'Inside Card Rev'!J6</f>
        <v>#REF!</v>
      </c>
      <c r="K6" s="282" t="e">
        <f>'Inside Card Rev'!K6</f>
        <v>#REF!</v>
      </c>
      <c r="L6" s="282" t="e">
        <f>'Inside Card Rev'!L6</f>
        <v>#REF!</v>
      </c>
      <c r="M6" s="282" t="e">
        <f>'Inside Card Rev'!M6</f>
        <v>#REF!</v>
      </c>
      <c r="N6" s="282" t="e">
        <f>'Inside Card Rev'!N6</f>
        <v>#REF!</v>
      </c>
      <c r="O6" s="282" t="e">
        <f>'Inside Card Rev'!O6</f>
        <v>#REF!</v>
      </c>
      <c r="P6" s="205" t="e">
        <f>SUM(D6:O6)</f>
        <v>#REF!</v>
      </c>
      <c r="Q6" s="282" t="e">
        <f>'Inside Card Rev'!Q6</f>
        <v>#REF!</v>
      </c>
      <c r="R6" s="282" t="e">
        <f>'Inside Card Rev'!R6</f>
        <v>#REF!</v>
      </c>
      <c r="S6" s="282" t="e">
        <f>'Inside Card Rev'!S6</f>
        <v>#REF!</v>
      </c>
      <c r="T6" s="282" t="e">
        <f>'Inside Card Rev'!T6</f>
        <v>#REF!</v>
      </c>
      <c r="U6" s="282" t="e">
        <f>'Inside Card Rev'!U6</f>
        <v>#REF!</v>
      </c>
      <c r="V6" s="282" t="e">
        <f>'Inside Card Rev'!V6</f>
        <v>#REF!</v>
      </c>
      <c r="W6" s="282" t="e">
        <f>'Inside Card Rev'!W6</f>
        <v>#REF!</v>
      </c>
      <c r="X6" s="282" t="e">
        <f>'Inside Card Rev'!X6</f>
        <v>#REF!</v>
      </c>
      <c r="Y6" s="282" t="e">
        <f>'Inside Card Rev'!Y6</f>
        <v>#REF!</v>
      </c>
      <c r="Z6" s="282" t="e">
        <f>'Inside Card Rev'!Z6</f>
        <v>#REF!</v>
      </c>
      <c r="AA6" s="282" t="e">
        <f>'Inside Card Rev'!AA6</f>
        <v>#REF!</v>
      </c>
      <c r="AB6" s="282" t="e">
        <f>'Inside Card Rev'!AB6</f>
        <v>#REF!</v>
      </c>
      <c r="AC6" s="205" t="e">
        <f>SUM(Q6:AB6)</f>
        <v>#REF!</v>
      </c>
      <c r="AD6" s="282" t="e">
        <f>'Inside Card Rev'!AD6</f>
        <v>#REF!</v>
      </c>
      <c r="AE6" s="282" t="e">
        <f>'Inside Card Rev'!AE6</f>
        <v>#REF!</v>
      </c>
      <c r="AF6" s="282" t="e">
        <f>'Inside Card Rev'!AF6</f>
        <v>#REF!</v>
      </c>
      <c r="AG6" s="282" t="e">
        <f>'Inside Card Rev'!AG6</f>
        <v>#REF!</v>
      </c>
      <c r="AH6" s="282" t="e">
        <f>'Inside Card Rev'!AH6</f>
        <v>#REF!</v>
      </c>
      <c r="AI6" s="282" t="e">
        <f>'Inside Card Rev'!AI6</f>
        <v>#REF!</v>
      </c>
      <c r="AJ6" s="282" t="e">
        <f>'Inside Card Rev'!AJ6</f>
        <v>#REF!</v>
      </c>
      <c r="AK6" s="282" t="e">
        <f>'Inside Card Rev'!AK6</f>
        <v>#REF!</v>
      </c>
      <c r="AL6" s="282" t="e">
        <f>'Inside Card Rev'!AL6</f>
        <v>#REF!</v>
      </c>
      <c r="AM6" s="282" t="e">
        <f>'Inside Card Rev'!AM6</f>
        <v>#REF!</v>
      </c>
      <c r="AN6" s="282" t="e">
        <f>'Inside Card Rev'!AN6</f>
        <v>#REF!</v>
      </c>
      <c r="AO6" s="282" t="e">
        <f>'Inside Card Rev'!AO6</f>
        <v>#REF!</v>
      </c>
      <c r="AP6" s="205" t="e">
        <f>SUM(AD6:AO6)</f>
        <v>#REF!</v>
      </c>
      <c r="AQ6" s="282" t="e">
        <f>'Inside Card Rev'!AQ6</f>
        <v>#REF!</v>
      </c>
      <c r="AR6" s="282" t="e">
        <f>'Inside Card Rev'!AR6</f>
        <v>#REF!</v>
      </c>
      <c r="AS6" s="282" t="e">
        <f>'Inside Card Rev'!AS6</f>
        <v>#REF!</v>
      </c>
      <c r="AT6" s="282" t="e">
        <f>'Inside Card Rev'!AT6</f>
        <v>#REF!</v>
      </c>
      <c r="AU6" s="282" t="e">
        <f>'Inside Card Rev'!AU6</f>
        <v>#REF!</v>
      </c>
      <c r="AV6" s="282" t="e">
        <f>'Inside Card Rev'!AV6</f>
        <v>#REF!</v>
      </c>
      <c r="AW6" s="282" t="e">
        <f>'Inside Card Rev'!AW6</f>
        <v>#REF!</v>
      </c>
      <c r="AX6" s="282" t="e">
        <f>'Inside Card Rev'!AX6</f>
        <v>#REF!</v>
      </c>
      <c r="AY6" s="282" t="e">
        <f>'Inside Card Rev'!AY6</f>
        <v>#REF!</v>
      </c>
      <c r="AZ6" s="282" t="e">
        <f>'Inside Card Rev'!AZ6</f>
        <v>#REF!</v>
      </c>
      <c r="BA6" s="282" t="e">
        <f>'Inside Card Rev'!BA6</f>
        <v>#REF!</v>
      </c>
      <c r="BB6" s="282" t="e">
        <f>'Inside Card Rev'!BB6</f>
        <v>#REF!</v>
      </c>
      <c r="BC6" s="205" t="e">
        <f>SUM(AQ6:BB6)</f>
        <v>#REF!</v>
      </c>
      <c r="BD6" s="282" t="e">
        <f>'Inside Card Rev'!BD6</f>
        <v>#REF!</v>
      </c>
      <c r="BE6" s="282" t="e">
        <f>'Inside Card Rev'!BE6</f>
        <v>#REF!</v>
      </c>
      <c r="BF6" s="282" t="e">
        <f>'Inside Card Rev'!BF6</f>
        <v>#REF!</v>
      </c>
      <c r="BG6" s="282" t="e">
        <f>'Inside Card Rev'!BG6</f>
        <v>#REF!</v>
      </c>
      <c r="BH6" s="282" t="e">
        <f>'Inside Card Rev'!BH6</f>
        <v>#REF!</v>
      </c>
      <c r="BI6" s="282" t="e">
        <f>'Inside Card Rev'!BI6</f>
        <v>#REF!</v>
      </c>
      <c r="BJ6" s="282" t="e">
        <f>'Inside Card Rev'!BJ6</f>
        <v>#REF!</v>
      </c>
      <c r="BK6" s="282" t="e">
        <f>'Inside Card Rev'!BK6</f>
        <v>#REF!</v>
      </c>
      <c r="BL6" s="282" t="e">
        <f>'Inside Card Rev'!BL6</f>
        <v>#REF!</v>
      </c>
      <c r="BM6" s="282" t="e">
        <f>'Inside Card Rev'!BM6</f>
        <v>#REF!</v>
      </c>
      <c r="BN6" s="282" t="e">
        <f>'Inside Card Rev'!BN6</f>
        <v>#REF!</v>
      </c>
      <c r="BO6" s="282" t="e">
        <f>'Inside Card Rev'!BO6</f>
        <v>#REF!</v>
      </c>
      <c r="BP6" s="205" t="e">
        <f>SUM(BD6:BO6)</f>
        <v>#REF!</v>
      </c>
      <c r="BQ6" s="243" t="e">
        <f>SUM(AP6+AC6+P6+BC6+BP6)</f>
        <v>#REF!</v>
      </c>
    </row>
    <row r="7" spans="1:69" ht="12.75" customHeight="1">
      <c r="A7" s="1"/>
      <c r="B7" s="162" t="s">
        <v>512</v>
      </c>
      <c r="C7" s="162"/>
      <c r="D7" s="283" t="e">
        <f t="shared" ref="D7:BQ7" si="0">#REF!</f>
        <v>#REF!</v>
      </c>
      <c r="E7" s="283" t="e">
        <f t="shared" si="0"/>
        <v>#REF!</v>
      </c>
      <c r="F7" s="283" t="e">
        <f t="shared" si="0"/>
        <v>#REF!</v>
      </c>
      <c r="G7" s="283" t="e">
        <f t="shared" si="0"/>
        <v>#REF!</v>
      </c>
      <c r="H7" s="283" t="e">
        <f t="shared" si="0"/>
        <v>#REF!</v>
      </c>
      <c r="I7" s="283" t="e">
        <f t="shared" si="0"/>
        <v>#REF!</v>
      </c>
      <c r="J7" s="283" t="e">
        <f t="shared" si="0"/>
        <v>#REF!</v>
      </c>
      <c r="K7" s="283" t="e">
        <f t="shared" si="0"/>
        <v>#REF!</v>
      </c>
      <c r="L7" s="283" t="e">
        <f t="shared" si="0"/>
        <v>#REF!</v>
      </c>
      <c r="M7" s="283" t="e">
        <f t="shared" si="0"/>
        <v>#REF!</v>
      </c>
      <c r="N7" s="283" t="e">
        <f t="shared" si="0"/>
        <v>#REF!</v>
      </c>
      <c r="O7" s="283" t="e">
        <f t="shared" si="0"/>
        <v>#REF!</v>
      </c>
      <c r="P7" s="284" t="e">
        <f t="shared" si="0"/>
        <v>#REF!</v>
      </c>
      <c r="Q7" s="283" t="e">
        <f t="shared" si="0"/>
        <v>#REF!</v>
      </c>
      <c r="R7" s="283" t="e">
        <f t="shared" si="0"/>
        <v>#REF!</v>
      </c>
      <c r="S7" s="283" t="e">
        <f t="shared" si="0"/>
        <v>#REF!</v>
      </c>
      <c r="T7" s="283" t="e">
        <f t="shared" si="0"/>
        <v>#REF!</v>
      </c>
      <c r="U7" s="283" t="e">
        <f t="shared" si="0"/>
        <v>#REF!</v>
      </c>
      <c r="V7" s="283" t="e">
        <f t="shared" si="0"/>
        <v>#REF!</v>
      </c>
      <c r="W7" s="283" t="e">
        <f t="shared" si="0"/>
        <v>#REF!</v>
      </c>
      <c r="X7" s="283" t="e">
        <f t="shared" si="0"/>
        <v>#REF!</v>
      </c>
      <c r="Y7" s="283" t="e">
        <f t="shared" si="0"/>
        <v>#REF!</v>
      </c>
      <c r="Z7" s="283" t="e">
        <f t="shared" si="0"/>
        <v>#REF!</v>
      </c>
      <c r="AA7" s="283" t="e">
        <f t="shared" si="0"/>
        <v>#REF!</v>
      </c>
      <c r="AB7" s="283" t="e">
        <f t="shared" si="0"/>
        <v>#REF!</v>
      </c>
      <c r="AC7" s="284" t="e">
        <f t="shared" si="0"/>
        <v>#REF!</v>
      </c>
      <c r="AD7" s="283" t="e">
        <f t="shared" si="0"/>
        <v>#REF!</v>
      </c>
      <c r="AE7" s="283" t="e">
        <f t="shared" si="0"/>
        <v>#REF!</v>
      </c>
      <c r="AF7" s="283" t="e">
        <f t="shared" si="0"/>
        <v>#REF!</v>
      </c>
      <c r="AG7" s="283" t="e">
        <f t="shared" si="0"/>
        <v>#REF!</v>
      </c>
      <c r="AH7" s="283" t="e">
        <f t="shared" si="0"/>
        <v>#REF!</v>
      </c>
      <c r="AI7" s="283" t="e">
        <f t="shared" si="0"/>
        <v>#REF!</v>
      </c>
      <c r="AJ7" s="283" t="e">
        <f t="shared" si="0"/>
        <v>#REF!</v>
      </c>
      <c r="AK7" s="283" t="e">
        <f t="shared" si="0"/>
        <v>#REF!</v>
      </c>
      <c r="AL7" s="283" t="e">
        <f t="shared" si="0"/>
        <v>#REF!</v>
      </c>
      <c r="AM7" s="283" t="e">
        <f t="shared" si="0"/>
        <v>#REF!</v>
      </c>
      <c r="AN7" s="283" t="e">
        <f t="shared" si="0"/>
        <v>#REF!</v>
      </c>
      <c r="AO7" s="283" t="e">
        <f t="shared" si="0"/>
        <v>#REF!</v>
      </c>
      <c r="AP7" s="284" t="e">
        <f t="shared" si="0"/>
        <v>#REF!</v>
      </c>
      <c r="AQ7" s="283" t="e">
        <f t="shared" si="0"/>
        <v>#REF!</v>
      </c>
      <c r="AR7" s="283" t="e">
        <f t="shared" si="0"/>
        <v>#REF!</v>
      </c>
      <c r="AS7" s="283" t="e">
        <f t="shared" si="0"/>
        <v>#REF!</v>
      </c>
      <c r="AT7" s="283" t="e">
        <f t="shared" si="0"/>
        <v>#REF!</v>
      </c>
      <c r="AU7" s="283" t="e">
        <f t="shared" si="0"/>
        <v>#REF!</v>
      </c>
      <c r="AV7" s="283" t="e">
        <f t="shared" si="0"/>
        <v>#REF!</v>
      </c>
      <c r="AW7" s="283" t="e">
        <f t="shared" si="0"/>
        <v>#REF!</v>
      </c>
      <c r="AX7" s="283" t="e">
        <f t="shared" si="0"/>
        <v>#REF!</v>
      </c>
      <c r="AY7" s="283" t="e">
        <f t="shared" si="0"/>
        <v>#REF!</v>
      </c>
      <c r="AZ7" s="283" t="e">
        <f t="shared" si="0"/>
        <v>#REF!</v>
      </c>
      <c r="BA7" s="283" t="e">
        <f t="shared" si="0"/>
        <v>#REF!</v>
      </c>
      <c r="BB7" s="283" t="e">
        <f t="shared" si="0"/>
        <v>#REF!</v>
      </c>
      <c r="BC7" s="284" t="e">
        <f t="shared" si="0"/>
        <v>#REF!</v>
      </c>
      <c r="BD7" s="283" t="e">
        <f t="shared" si="0"/>
        <v>#REF!</v>
      </c>
      <c r="BE7" s="283" t="e">
        <f t="shared" si="0"/>
        <v>#REF!</v>
      </c>
      <c r="BF7" s="283" t="e">
        <f t="shared" si="0"/>
        <v>#REF!</v>
      </c>
      <c r="BG7" s="283" t="e">
        <f t="shared" si="0"/>
        <v>#REF!</v>
      </c>
      <c r="BH7" s="283" t="e">
        <f t="shared" si="0"/>
        <v>#REF!</v>
      </c>
      <c r="BI7" s="283" t="e">
        <f t="shared" si="0"/>
        <v>#REF!</v>
      </c>
      <c r="BJ7" s="283" t="e">
        <f t="shared" si="0"/>
        <v>#REF!</v>
      </c>
      <c r="BK7" s="283" t="e">
        <f t="shared" si="0"/>
        <v>#REF!</v>
      </c>
      <c r="BL7" s="283" t="e">
        <f t="shared" si="0"/>
        <v>#REF!</v>
      </c>
      <c r="BM7" s="283" t="e">
        <f t="shared" si="0"/>
        <v>#REF!</v>
      </c>
      <c r="BN7" s="283" t="e">
        <f t="shared" si="0"/>
        <v>#REF!</v>
      </c>
      <c r="BO7" s="283" t="e">
        <f t="shared" si="0"/>
        <v>#REF!</v>
      </c>
      <c r="BP7" s="284" t="e">
        <f t="shared" si="0"/>
        <v>#REF!</v>
      </c>
      <c r="BQ7" s="284" t="e">
        <f t="shared" si="0"/>
        <v>#REF!</v>
      </c>
    </row>
    <row r="8" spans="1:69" ht="12.75" customHeight="1">
      <c r="A8" s="191"/>
      <c r="B8" s="192" t="s">
        <v>70</v>
      </c>
      <c r="C8" s="193"/>
      <c r="D8" s="194" t="e">
        <f t="shared" ref="D8:O8" si="1">D6*D7</f>
        <v>#REF!</v>
      </c>
      <c r="E8" s="194" t="e">
        <f t="shared" si="1"/>
        <v>#REF!</v>
      </c>
      <c r="F8" s="194" t="e">
        <f t="shared" si="1"/>
        <v>#REF!</v>
      </c>
      <c r="G8" s="194" t="e">
        <f t="shared" si="1"/>
        <v>#REF!</v>
      </c>
      <c r="H8" s="194" t="e">
        <f t="shared" si="1"/>
        <v>#REF!</v>
      </c>
      <c r="I8" s="194" t="e">
        <f t="shared" si="1"/>
        <v>#REF!</v>
      </c>
      <c r="J8" s="194" t="e">
        <f t="shared" si="1"/>
        <v>#REF!</v>
      </c>
      <c r="K8" s="194" t="e">
        <f t="shared" si="1"/>
        <v>#REF!</v>
      </c>
      <c r="L8" s="194" t="e">
        <f t="shared" si="1"/>
        <v>#REF!</v>
      </c>
      <c r="M8" s="194" t="e">
        <f t="shared" si="1"/>
        <v>#REF!</v>
      </c>
      <c r="N8" s="194" t="e">
        <f t="shared" si="1"/>
        <v>#REF!</v>
      </c>
      <c r="O8" s="194" t="e">
        <f t="shared" si="1"/>
        <v>#REF!</v>
      </c>
      <c r="P8" s="195" t="e">
        <f>SUM(D8:O8)</f>
        <v>#REF!</v>
      </c>
      <c r="Q8" s="194" t="e">
        <f t="shared" ref="Q8:AB8" si="2">Q6*Q7</f>
        <v>#REF!</v>
      </c>
      <c r="R8" s="194" t="e">
        <f t="shared" si="2"/>
        <v>#REF!</v>
      </c>
      <c r="S8" s="194" t="e">
        <f t="shared" si="2"/>
        <v>#REF!</v>
      </c>
      <c r="T8" s="194" t="e">
        <f t="shared" si="2"/>
        <v>#REF!</v>
      </c>
      <c r="U8" s="194" t="e">
        <f t="shared" si="2"/>
        <v>#REF!</v>
      </c>
      <c r="V8" s="194" t="e">
        <f t="shared" si="2"/>
        <v>#REF!</v>
      </c>
      <c r="W8" s="194" t="e">
        <f t="shared" si="2"/>
        <v>#REF!</v>
      </c>
      <c r="X8" s="194" t="e">
        <f t="shared" si="2"/>
        <v>#REF!</v>
      </c>
      <c r="Y8" s="194" t="e">
        <f t="shared" si="2"/>
        <v>#REF!</v>
      </c>
      <c r="Z8" s="194" t="e">
        <f t="shared" si="2"/>
        <v>#REF!</v>
      </c>
      <c r="AA8" s="194" t="e">
        <f t="shared" si="2"/>
        <v>#REF!</v>
      </c>
      <c r="AB8" s="194" t="e">
        <f t="shared" si="2"/>
        <v>#REF!</v>
      </c>
      <c r="AC8" s="195" t="e">
        <f>SUM(Q8:AB8)</f>
        <v>#REF!</v>
      </c>
      <c r="AD8" s="194" t="e">
        <f t="shared" ref="AD8:AO8" si="3">AD6*AD7</f>
        <v>#REF!</v>
      </c>
      <c r="AE8" s="194" t="e">
        <f t="shared" si="3"/>
        <v>#REF!</v>
      </c>
      <c r="AF8" s="194" t="e">
        <f t="shared" si="3"/>
        <v>#REF!</v>
      </c>
      <c r="AG8" s="194" t="e">
        <f t="shared" si="3"/>
        <v>#REF!</v>
      </c>
      <c r="AH8" s="194" t="e">
        <f t="shared" si="3"/>
        <v>#REF!</v>
      </c>
      <c r="AI8" s="194" t="e">
        <f t="shared" si="3"/>
        <v>#REF!</v>
      </c>
      <c r="AJ8" s="194" t="e">
        <f t="shared" si="3"/>
        <v>#REF!</v>
      </c>
      <c r="AK8" s="194" t="e">
        <f t="shared" si="3"/>
        <v>#REF!</v>
      </c>
      <c r="AL8" s="194" t="e">
        <f t="shared" si="3"/>
        <v>#REF!</v>
      </c>
      <c r="AM8" s="194" t="e">
        <f t="shared" si="3"/>
        <v>#REF!</v>
      </c>
      <c r="AN8" s="194" t="e">
        <f t="shared" si="3"/>
        <v>#REF!</v>
      </c>
      <c r="AO8" s="194" t="e">
        <f t="shared" si="3"/>
        <v>#REF!</v>
      </c>
      <c r="AP8" s="195" t="e">
        <f>SUM(AD8:AO8)</f>
        <v>#REF!</v>
      </c>
      <c r="AQ8" s="194" t="e">
        <f t="shared" ref="AQ8:BB8" si="4">AQ6*AQ7</f>
        <v>#REF!</v>
      </c>
      <c r="AR8" s="194" t="e">
        <f t="shared" si="4"/>
        <v>#REF!</v>
      </c>
      <c r="AS8" s="194" t="e">
        <f t="shared" si="4"/>
        <v>#REF!</v>
      </c>
      <c r="AT8" s="194" t="e">
        <f t="shared" si="4"/>
        <v>#REF!</v>
      </c>
      <c r="AU8" s="194" t="e">
        <f t="shared" si="4"/>
        <v>#REF!</v>
      </c>
      <c r="AV8" s="194" t="e">
        <f t="shared" si="4"/>
        <v>#REF!</v>
      </c>
      <c r="AW8" s="194" t="e">
        <f t="shared" si="4"/>
        <v>#REF!</v>
      </c>
      <c r="AX8" s="194" t="e">
        <f t="shared" si="4"/>
        <v>#REF!</v>
      </c>
      <c r="AY8" s="194" t="e">
        <f t="shared" si="4"/>
        <v>#REF!</v>
      </c>
      <c r="AZ8" s="194" t="e">
        <f t="shared" si="4"/>
        <v>#REF!</v>
      </c>
      <c r="BA8" s="194" t="e">
        <f t="shared" si="4"/>
        <v>#REF!</v>
      </c>
      <c r="BB8" s="194" t="e">
        <f t="shared" si="4"/>
        <v>#REF!</v>
      </c>
      <c r="BC8" s="195" t="e">
        <f>SUM(AQ8:BB8)</f>
        <v>#REF!</v>
      </c>
      <c r="BD8" s="194" t="e">
        <f t="shared" ref="BD8:BO8" si="5">BD6*BD7</f>
        <v>#REF!</v>
      </c>
      <c r="BE8" s="194" t="e">
        <f t="shared" si="5"/>
        <v>#REF!</v>
      </c>
      <c r="BF8" s="194" t="e">
        <f t="shared" si="5"/>
        <v>#REF!</v>
      </c>
      <c r="BG8" s="194" t="e">
        <f t="shared" si="5"/>
        <v>#REF!</v>
      </c>
      <c r="BH8" s="194" t="e">
        <f t="shared" si="5"/>
        <v>#REF!</v>
      </c>
      <c r="BI8" s="194" t="e">
        <f t="shared" si="5"/>
        <v>#REF!</v>
      </c>
      <c r="BJ8" s="194" t="e">
        <f t="shared" si="5"/>
        <v>#REF!</v>
      </c>
      <c r="BK8" s="194" t="e">
        <f t="shared" si="5"/>
        <v>#REF!</v>
      </c>
      <c r="BL8" s="194" t="e">
        <f t="shared" si="5"/>
        <v>#REF!</v>
      </c>
      <c r="BM8" s="194" t="e">
        <f t="shared" si="5"/>
        <v>#REF!</v>
      </c>
      <c r="BN8" s="194" t="e">
        <f t="shared" si="5"/>
        <v>#REF!</v>
      </c>
      <c r="BO8" s="194" t="e">
        <f t="shared" si="5"/>
        <v>#REF!</v>
      </c>
      <c r="BP8" s="195" t="e">
        <f>SUM(BD8:BO8)</f>
        <v>#REF!</v>
      </c>
      <c r="BQ8" s="238" t="e">
        <f>BQ6*BQ7</f>
        <v>#REF!</v>
      </c>
    </row>
    <row r="9" spans="1:69" ht="12.75" customHeight="1">
      <c r="A9" s="1"/>
      <c r="B9" s="1"/>
      <c r="C9" s="1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7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239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239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239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239"/>
      <c r="BQ9" s="240"/>
    </row>
    <row r="10" spans="1:69" ht="12.75" customHeight="1">
      <c r="A10" s="187"/>
      <c r="B10" s="187" t="s">
        <v>86</v>
      </c>
      <c r="C10" s="187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98"/>
      <c r="BK10" s="198"/>
      <c r="BL10" s="198"/>
      <c r="BM10" s="198"/>
      <c r="BN10" s="198"/>
      <c r="BO10" s="198"/>
      <c r="BP10" s="198"/>
      <c r="BQ10" s="198"/>
    </row>
    <row r="11" spans="1:69" ht="12.75" customHeight="1">
      <c r="A11" s="199" t="s">
        <v>418</v>
      </c>
      <c r="B11" s="199"/>
      <c r="C11" s="199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1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41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41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41"/>
      <c r="BD11" s="200"/>
      <c r="BE11" s="200"/>
      <c r="BF11" s="200"/>
      <c r="BG11" s="200"/>
      <c r="BH11" s="200"/>
      <c r="BI11" s="200"/>
      <c r="BJ11" s="200"/>
      <c r="BK11" s="200"/>
      <c r="BL11" s="200"/>
      <c r="BM11" s="200"/>
      <c r="BN11" s="200"/>
      <c r="BO11" s="200"/>
      <c r="BP11" s="241"/>
      <c r="BQ11" s="242"/>
    </row>
    <row r="12" spans="1:69" ht="12.75" customHeight="1">
      <c r="A12" s="202"/>
      <c r="B12" s="203" t="s">
        <v>418</v>
      </c>
      <c r="C12" s="203"/>
      <c r="D12" s="203" t="e">
        <f t="shared" ref="D12:BQ12" si="6">D8*(1-#REF!)</f>
        <v>#REF!</v>
      </c>
      <c r="E12" s="203" t="e">
        <f t="shared" si="6"/>
        <v>#REF!</v>
      </c>
      <c r="F12" s="203" t="e">
        <f t="shared" si="6"/>
        <v>#REF!</v>
      </c>
      <c r="G12" s="203" t="e">
        <f t="shared" si="6"/>
        <v>#REF!</v>
      </c>
      <c r="H12" s="203" t="e">
        <f t="shared" si="6"/>
        <v>#REF!</v>
      </c>
      <c r="I12" s="203" t="e">
        <f t="shared" si="6"/>
        <v>#REF!</v>
      </c>
      <c r="J12" s="203" t="e">
        <f t="shared" si="6"/>
        <v>#REF!</v>
      </c>
      <c r="K12" s="203" t="e">
        <f t="shared" si="6"/>
        <v>#REF!</v>
      </c>
      <c r="L12" s="203" t="e">
        <f t="shared" si="6"/>
        <v>#REF!</v>
      </c>
      <c r="M12" s="203" t="e">
        <f t="shared" si="6"/>
        <v>#REF!</v>
      </c>
      <c r="N12" s="203" t="e">
        <f t="shared" si="6"/>
        <v>#REF!</v>
      </c>
      <c r="O12" s="203" t="e">
        <f t="shared" si="6"/>
        <v>#REF!</v>
      </c>
      <c r="P12" s="205" t="e">
        <f t="shared" si="6"/>
        <v>#REF!</v>
      </c>
      <c r="Q12" s="203" t="e">
        <f t="shared" si="6"/>
        <v>#REF!</v>
      </c>
      <c r="R12" s="203" t="e">
        <f t="shared" si="6"/>
        <v>#REF!</v>
      </c>
      <c r="S12" s="203" t="e">
        <f t="shared" si="6"/>
        <v>#REF!</v>
      </c>
      <c r="T12" s="203" t="e">
        <f t="shared" si="6"/>
        <v>#REF!</v>
      </c>
      <c r="U12" s="203" t="e">
        <f t="shared" si="6"/>
        <v>#REF!</v>
      </c>
      <c r="V12" s="203" t="e">
        <f t="shared" si="6"/>
        <v>#REF!</v>
      </c>
      <c r="W12" s="203" t="e">
        <f t="shared" si="6"/>
        <v>#REF!</v>
      </c>
      <c r="X12" s="203" t="e">
        <f t="shared" si="6"/>
        <v>#REF!</v>
      </c>
      <c r="Y12" s="203" t="e">
        <f t="shared" si="6"/>
        <v>#REF!</v>
      </c>
      <c r="Z12" s="203" t="e">
        <f t="shared" si="6"/>
        <v>#REF!</v>
      </c>
      <c r="AA12" s="203" t="e">
        <f t="shared" si="6"/>
        <v>#REF!</v>
      </c>
      <c r="AB12" s="203" t="e">
        <f t="shared" si="6"/>
        <v>#REF!</v>
      </c>
      <c r="AC12" s="205" t="e">
        <f t="shared" si="6"/>
        <v>#REF!</v>
      </c>
      <c r="AD12" s="203" t="e">
        <f t="shared" si="6"/>
        <v>#REF!</v>
      </c>
      <c r="AE12" s="203" t="e">
        <f t="shared" si="6"/>
        <v>#REF!</v>
      </c>
      <c r="AF12" s="203" t="e">
        <f t="shared" si="6"/>
        <v>#REF!</v>
      </c>
      <c r="AG12" s="203" t="e">
        <f t="shared" si="6"/>
        <v>#REF!</v>
      </c>
      <c r="AH12" s="203" t="e">
        <f t="shared" si="6"/>
        <v>#REF!</v>
      </c>
      <c r="AI12" s="203" t="e">
        <f t="shared" si="6"/>
        <v>#REF!</v>
      </c>
      <c r="AJ12" s="203" t="e">
        <f t="shared" si="6"/>
        <v>#REF!</v>
      </c>
      <c r="AK12" s="203" t="e">
        <f t="shared" si="6"/>
        <v>#REF!</v>
      </c>
      <c r="AL12" s="203" t="e">
        <f t="shared" si="6"/>
        <v>#REF!</v>
      </c>
      <c r="AM12" s="203" t="e">
        <f t="shared" si="6"/>
        <v>#REF!</v>
      </c>
      <c r="AN12" s="203" t="e">
        <f t="shared" si="6"/>
        <v>#REF!</v>
      </c>
      <c r="AO12" s="203" t="e">
        <f t="shared" si="6"/>
        <v>#REF!</v>
      </c>
      <c r="AP12" s="205" t="e">
        <f t="shared" si="6"/>
        <v>#REF!</v>
      </c>
      <c r="AQ12" s="203" t="e">
        <f t="shared" si="6"/>
        <v>#REF!</v>
      </c>
      <c r="AR12" s="203" t="e">
        <f t="shared" si="6"/>
        <v>#REF!</v>
      </c>
      <c r="AS12" s="203" t="e">
        <f t="shared" si="6"/>
        <v>#REF!</v>
      </c>
      <c r="AT12" s="203" t="e">
        <f t="shared" si="6"/>
        <v>#REF!</v>
      </c>
      <c r="AU12" s="203" t="e">
        <f t="shared" si="6"/>
        <v>#REF!</v>
      </c>
      <c r="AV12" s="203" t="e">
        <f t="shared" si="6"/>
        <v>#REF!</v>
      </c>
      <c r="AW12" s="203" t="e">
        <f t="shared" si="6"/>
        <v>#REF!</v>
      </c>
      <c r="AX12" s="203" t="e">
        <f t="shared" si="6"/>
        <v>#REF!</v>
      </c>
      <c r="AY12" s="203" t="e">
        <f t="shared" si="6"/>
        <v>#REF!</v>
      </c>
      <c r="AZ12" s="203" t="e">
        <f t="shared" si="6"/>
        <v>#REF!</v>
      </c>
      <c r="BA12" s="203" t="e">
        <f t="shared" si="6"/>
        <v>#REF!</v>
      </c>
      <c r="BB12" s="203" t="e">
        <f t="shared" si="6"/>
        <v>#REF!</v>
      </c>
      <c r="BC12" s="205" t="e">
        <f t="shared" si="6"/>
        <v>#REF!</v>
      </c>
      <c r="BD12" s="203" t="e">
        <f t="shared" si="6"/>
        <v>#REF!</v>
      </c>
      <c r="BE12" s="203" t="e">
        <f t="shared" si="6"/>
        <v>#REF!</v>
      </c>
      <c r="BF12" s="203" t="e">
        <f t="shared" si="6"/>
        <v>#REF!</v>
      </c>
      <c r="BG12" s="203" t="e">
        <f t="shared" si="6"/>
        <v>#REF!</v>
      </c>
      <c r="BH12" s="203" t="e">
        <f t="shared" si="6"/>
        <v>#REF!</v>
      </c>
      <c r="BI12" s="203" t="e">
        <f t="shared" si="6"/>
        <v>#REF!</v>
      </c>
      <c r="BJ12" s="203" t="e">
        <f t="shared" si="6"/>
        <v>#REF!</v>
      </c>
      <c r="BK12" s="203" t="e">
        <f t="shared" si="6"/>
        <v>#REF!</v>
      </c>
      <c r="BL12" s="203" t="e">
        <f t="shared" si="6"/>
        <v>#REF!</v>
      </c>
      <c r="BM12" s="203" t="e">
        <f t="shared" si="6"/>
        <v>#REF!</v>
      </c>
      <c r="BN12" s="203" t="e">
        <f t="shared" si="6"/>
        <v>#REF!</v>
      </c>
      <c r="BO12" s="203" t="e">
        <f t="shared" si="6"/>
        <v>#REF!</v>
      </c>
      <c r="BP12" s="205" t="e">
        <f t="shared" si="6"/>
        <v>#REF!</v>
      </c>
      <c r="BQ12" s="243" t="e">
        <f t="shared" si="6"/>
        <v>#REF!</v>
      </c>
    </row>
    <row r="13" spans="1:69" ht="12.75" customHeight="1">
      <c r="A13" s="176"/>
      <c r="B13" s="203" t="s">
        <v>419</v>
      </c>
      <c r="C13" s="203"/>
      <c r="D13" s="203" t="e">
        <f t="shared" ref="D13:O13" si="7">D8*0.025</f>
        <v>#REF!</v>
      </c>
      <c r="E13" s="203" t="e">
        <f t="shared" si="7"/>
        <v>#REF!</v>
      </c>
      <c r="F13" s="203" t="e">
        <f t="shared" si="7"/>
        <v>#REF!</v>
      </c>
      <c r="G13" s="203" t="e">
        <f t="shared" si="7"/>
        <v>#REF!</v>
      </c>
      <c r="H13" s="203" t="e">
        <f t="shared" si="7"/>
        <v>#REF!</v>
      </c>
      <c r="I13" s="203" t="e">
        <f t="shared" si="7"/>
        <v>#REF!</v>
      </c>
      <c r="J13" s="203" t="e">
        <f t="shared" si="7"/>
        <v>#REF!</v>
      </c>
      <c r="K13" s="203" t="e">
        <f t="shared" si="7"/>
        <v>#REF!</v>
      </c>
      <c r="L13" s="203" t="e">
        <f t="shared" si="7"/>
        <v>#REF!</v>
      </c>
      <c r="M13" s="203" t="e">
        <f t="shared" si="7"/>
        <v>#REF!</v>
      </c>
      <c r="N13" s="203" t="e">
        <f t="shared" si="7"/>
        <v>#REF!</v>
      </c>
      <c r="O13" s="203" t="e">
        <f t="shared" si="7"/>
        <v>#REF!</v>
      </c>
      <c r="P13" s="205" t="e">
        <f>SUM(D13:O13)</f>
        <v>#REF!</v>
      </c>
      <c r="Q13" s="203" t="e">
        <f t="shared" ref="Q13:AB13" si="8">Q8*0.025</f>
        <v>#REF!</v>
      </c>
      <c r="R13" s="203" t="e">
        <f t="shared" si="8"/>
        <v>#REF!</v>
      </c>
      <c r="S13" s="203" t="e">
        <f t="shared" si="8"/>
        <v>#REF!</v>
      </c>
      <c r="T13" s="203" t="e">
        <f t="shared" si="8"/>
        <v>#REF!</v>
      </c>
      <c r="U13" s="203" t="e">
        <f t="shared" si="8"/>
        <v>#REF!</v>
      </c>
      <c r="V13" s="203" t="e">
        <f t="shared" si="8"/>
        <v>#REF!</v>
      </c>
      <c r="W13" s="203" t="e">
        <f t="shared" si="8"/>
        <v>#REF!</v>
      </c>
      <c r="X13" s="203" t="e">
        <f t="shared" si="8"/>
        <v>#REF!</v>
      </c>
      <c r="Y13" s="203" t="e">
        <f t="shared" si="8"/>
        <v>#REF!</v>
      </c>
      <c r="Z13" s="203" t="e">
        <f t="shared" si="8"/>
        <v>#REF!</v>
      </c>
      <c r="AA13" s="203" t="e">
        <f t="shared" si="8"/>
        <v>#REF!</v>
      </c>
      <c r="AB13" s="203" t="e">
        <f t="shared" si="8"/>
        <v>#REF!</v>
      </c>
      <c r="AC13" s="205" t="e">
        <f>SUM(Q13:AB13)</f>
        <v>#REF!</v>
      </c>
      <c r="AD13" s="203" t="e">
        <f t="shared" ref="AD13:AO13" si="9">AD8*0.025</f>
        <v>#REF!</v>
      </c>
      <c r="AE13" s="203" t="e">
        <f t="shared" si="9"/>
        <v>#REF!</v>
      </c>
      <c r="AF13" s="203" t="e">
        <f t="shared" si="9"/>
        <v>#REF!</v>
      </c>
      <c r="AG13" s="203" t="e">
        <f t="shared" si="9"/>
        <v>#REF!</v>
      </c>
      <c r="AH13" s="203" t="e">
        <f t="shared" si="9"/>
        <v>#REF!</v>
      </c>
      <c r="AI13" s="203" t="e">
        <f t="shared" si="9"/>
        <v>#REF!</v>
      </c>
      <c r="AJ13" s="203" t="e">
        <f t="shared" si="9"/>
        <v>#REF!</v>
      </c>
      <c r="AK13" s="203" t="e">
        <f t="shared" si="9"/>
        <v>#REF!</v>
      </c>
      <c r="AL13" s="203" t="e">
        <f t="shared" si="9"/>
        <v>#REF!</v>
      </c>
      <c r="AM13" s="203" t="e">
        <f t="shared" si="9"/>
        <v>#REF!</v>
      </c>
      <c r="AN13" s="203" t="e">
        <f t="shared" si="9"/>
        <v>#REF!</v>
      </c>
      <c r="AO13" s="203" t="e">
        <f t="shared" si="9"/>
        <v>#REF!</v>
      </c>
      <c r="AP13" s="205" t="e">
        <f>SUM(AD13:AO13)</f>
        <v>#REF!</v>
      </c>
      <c r="AQ13" s="203" t="e">
        <f t="shared" ref="AQ13:BB13" si="10">AQ8*0.025</f>
        <v>#REF!</v>
      </c>
      <c r="AR13" s="203" t="e">
        <f t="shared" si="10"/>
        <v>#REF!</v>
      </c>
      <c r="AS13" s="203" t="e">
        <f t="shared" si="10"/>
        <v>#REF!</v>
      </c>
      <c r="AT13" s="203" t="e">
        <f t="shared" si="10"/>
        <v>#REF!</v>
      </c>
      <c r="AU13" s="203" t="e">
        <f t="shared" si="10"/>
        <v>#REF!</v>
      </c>
      <c r="AV13" s="203" t="e">
        <f t="shared" si="10"/>
        <v>#REF!</v>
      </c>
      <c r="AW13" s="203" t="e">
        <f t="shared" si="10"/>
        <v>#REF!</v>
      </c>
      <c r="AX13" s="203" t="e">
        <f t="shared" si="10"/>
        <v>#REF!</v>
      </c>
      <c r="AY13" s="203" t="e">
        <f t="shared" si="10"/>
        <v>#REF!</v>
      </c>
      <c r="AZ13" s="203" t="e">
        <f t="shared" si="10"/>
        <v>#REF!</v>
      </c>
      <c r="BA13" s="203" t="e">
        <f t="shared" si="10"/>
        <v>#REF!</v>
      </c>
      <c r="BB13" s="203" t="e">
        <f t="shared" si="10"/>
        <v>#REF!</v>
      </c>
      <c r="BC13" s="205" t="e">
        <f>SUM(AQ13:BB13)</f>
        <v>#REF!</v>
      </c>
      <c r="BD13" s="203" t="e">
        <f t="shared" ref="BD13:BO13" si="11">BD8*0.025</f>
        <v>#REF!</v>
      </c>
      <c r="BE13" s="203" t="e">
        <f t="shared" si="11"/>
        <v>#REF!</v>
      </c>
      <c r="BF13" s="203" t="e">
        <f t="shared" si="11"/>
        <v>#REF!</v>
      </c>
      <c r="BG13" s="203" t="e">
        <f t="shared" si="11"/>
        <v>#REF!</v>
      </c>
      <c r="BH13" s="203" t="e">
        <f t="shared" si="11"/>
        <v>#REF!</v>
      </c>
      <c r="BI13" s="203" t="e">
        <f t="shared" si="11"/>
        <v>#REF!</v>
      </c>
      <c r="BJ13" s="203" t="e">
        <f t="shared" si="11"/>
        <v>#REF!</v>
      </c>
      <c r="BK13" s="203" t="e">
        <f t="shared" si="11"/>
        <v>#REF!</v>
      </c>
      <c r="BL13" s="203" t="e">
        <f t="shared" si="11"/>
        <v>#REF!</v>
      </c>
      <c r="BM13" s="203" t="e">
        <f t="shared" si="11"/>
        <v>#REF!</v>
      </c>
      <c r="BN13" s="203" t="e">
        <f t="shared" si="11"/>
        <v>#REF!</v>
      </c>
      <c r="BO13" s="203" t="e">
        <f t="shared" si="11"/>
        <v>#REF!</v>
      </c>
      <c r="BP13" s="205" t="e">
        <f>SUM(BD13:BO13)</f>
        <v>#REF!</v>
      </c>
      <c r="BQ13" s="243" t="e">
        <f>SUM(AP13+AC13+P13+BC13+BP13)</f>
        <v>#REF!</v>
      </c>
    </row>
    <row r="14" spans="1:69" ht="12.75" customHeight="1">
      <c r="A14" s="206"/>
      <c r="B14" s="207"/>
      <c r="C14" s="162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5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5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5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5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5"/>
      <c r="BQ14" s="243"/>
    </row>
    <row r="15" spans="1:69" ht="12.75" customHeight="1">
      <c r="A15" s="208"/>
      <c r="B15" s="209" t="s">
        <v>420</v>
      </c>
      <c r="C15" s="192"/>
      <c r="D15" s="210" t="e">
        <f t="shared" ref="D15:BQ15" si="12">SUM(D12:D14)</f>
        <v>#REF!</v>
      </c>
      <c r="E15" s="210" t="e">
        <f t="shared" si="12"/>
        <v>#REF!</v>
      </c>
      <c r="F15" s="210" t="e">
        <f t="shared" si="12"/>
        <v>#REF!</v>
      </c>
      <c r="G15" s="210" t="e">
        <f t="shared" si="12"/>
        <v>#REF!</v>
      </c>
      <c r="H15" s="210" t="e">
        <f t="shared" si="12"/>
        <v>#REF!</v>
      </c>
      <c r="I15" s="210" t="e">
        <f t="shared" si="12"/>
        <v>#REF!</v>
      </c>
      <c r="J15" s="210" t="e">
        <f t="shared" si="12"/>
        <v>#REF!</v>
      </c>
      <c r="K15" s="210" t="e">
        <f t="shared" si="12"/>
        <v>#REF!</v>
      </c>
      <c r="L15" s="210" t="e">
        <f t="shared" si="12"/>
        <v>#REF!</v>
      </c>
      <c r="M15" s="210" t="e">
        <f t="shared" si="12"/>
        <v>#REF!</v>
      </c>
      <c r="N15" s="210" t="e">
        <f t="shared" si="12"/>
        <v>#REF!</v>
      </c>
      <c r="O15" s="210" t="e">
        <f t="shared" si="12"/>
        <v>#REF!</v>
      </c>
      <c r="P15" s="211" t="e">
        <f t="shared" si="12"/>
        <v>#REF!</v>
      </c>
      <c r="Q15" s="210" t="e">
        <f t="shared" si="12"/>
        <v>#REF!</v>
      </c>
      <c r="R15" s="210" t="e">
        <f t="shared" si="12"/>
        <v>#REF!</v>
      </c>
      <c r="S15" s="210" t="e">
        <f t="shared" si="12"/>
        <v>#REF!</v>
      </c>
      <c r="T15" s="210" t="e">
        <f t="shared" si="12"/>
        <v>#REF!</v>
      </c>
      <c r="U15" s="210" t="e">
        <f t="shared" si="12"/>
        <v>#REF!</v>
      </c>
      <c r="V15" s="210" t="e">
        <f t="shared" si="12"/>
        <v>#REF!</v>
      </c>
      <c r="W15" s="210" t="e">
        <f t="shared" si="12"/>
        <v>#REF!</v>
      </c>
      <c r="X15" s="210" t="e">
        <f t="shared" si="12"/>
        <v>#REF!</v>
      </c>
      <c r="Y15" s="210" t="e">
        <f t="shared" si="12"/>
        <v>#REF!</v>
      </c>
      <c r="Z15" s="210" t="e">
        <f t="shared" si="12"/>
        <v>#REF!</v>
      </c>
      <c r="AA15" s="210" t="e">
        <f t="shared" si="12"/>
        <v>#REF!</v>
      </c>
      <c r="AB15" s="210" t="e">
        <f t="shared" si="12"/>
        <v>#REF!</v>
      </c>
      <c r="AC15" s="211" t="e">
        <f t="shared" si="12"/>
        <v>#REF!</v>
      </c>
      <c r="AD15" s="210" t="e">
        <f t="shared" si="12"/>
        <v>#REF!</v>
      </c>
      <c r="AE15" s="210" t="e">
        <f t="shared" si="12"/>
        <v>#REF!</v>
      </c>
      <c r="AF15" s="210" t="e">
        <f t="shared" si="12"/>
        <v>#REF!</v>
      </c>
      <c r="AG15" s="210" t="e">
        <f t="shared" si="12"/>
        <v>#REF!</v>
      </c>
      <c r="AH15" s="210" t="e">
        <f t="shared" si="12"/>
        <v>#REF!</v>
      </c>
      <c r="AI15" s="210" t="e">
        <f t="shared" si="12"/>
        <v>#REF!</v>
      </c>
      <c r="AJ15" s="210" t="e">
        <f t="shared" si="12"/>
        <v>#REF!</v>
      </c>
      <c r="AK15" s="210" t="e">
        <f t="shared" si="12"/>
        <v>#REF!</v>
      </c>
      <c r="AL15" s="210" t="e">
        <f t="shared" si="12"/>
        <v>#REF!</v>
      </c>
      <c r="AM15" s="210" t="e">
        <f t="shared" si="12"/>
        <v>#REF!</v>
      </c>
      <c r="AN15" s="210" t="e">
        <f t="shared" si="12"/>
        <v>#REF!</v>
      </c>
      <c r="AO15" s="210" t="e">
        <f t="shared" si="12"/>
        <v>#REF!</v>
      </c>
      <c r="AP15" s="211" t="e">
        <f t="shared" si="12"/>
        <v>#REF!</v>
      </c>
      <c r="AQ15" s="210" t="e">
        <f t="shared" si="12"/>
        <v>#REF!</v>
      </c>
      <c r="AR15" s="210" t="e">
        <f t="shared" si="12"/>
        <v>#REF!</v>
      </c>
      <c r="AS15" s="210" t="e">
        <f t="shared" si="12"/>
        <v>#REF!</v>
      </c>
      <c r="AT15" s="210" t="e">
        <f t="shared" si="12"/>
        <v>#REF!</v>
      </c>
      <c r="AU15" s="210" t="e">
        <f t="shared" si="12"/>
        <v>#REF!</v>
      </c>
      <c r="AV15" s="210" t="e">
        <f t="shared" si="12"/>
        <v>#REF!</v>
      </c>
      <c r="AW15" s="210" t="e">
        <f t="shared" si="12"/>
        <v>#REF!</v>
      </c>
      <c r="AX15" s="210" t="e">
        <f t="shared" si="12"/>
        <v>#REF!</v>
      </c>
      <c r="AY15" s="210" t="e">
        <f t="shared" si="12"/>
        <v>#REF!</v>
      </c>
      <c r="AZ15" s="210" t="e">
        <f t="shared" si="12"/>
        <v>#REF!</v>
      </c>
      <c r="BA15" s="210" t="e">
        <f t="shared" si="12"/>
        <v>#REF!</v>
      </c>
      <c r="BB15" s="210" t="e">
        <f t="shared" si="12"/>
        <v>#REF!</v>
      </c>
      <c r="BC15" s="211" t="e">
        <f t="shared" si="12"/>
        <v>#REF!</v>
      </c>
      <c r="BD15" s="210" t="e">
        <f t="shared" si="12"/>
        <v>#REF!</v>
      </c>
      <c r="BE15" s="210" t="e">
        <f t="shared" si="12"/>
        <v>#REF!</v>
      </c>
      <c r="BF15" s="210" t="e">
        <f t="shared" si="12"/>
        <v>#REF!</v>
      </c>
      <c r="BG15" s="210" t="e">
        <f t="shared" si="12"/>
        <v>#REF!</v>
      </c>
      <c r="BH15" s="210" t="e">
        <f t="shared" si="12"/>
        <v>#REF!</v>
      </c>
      <c r="BI15" s="210" t="e">
        <f t="shared" si="12"/>
        <v>#REF!</v>
      </c>
      <c r="BJ15" s="210" t="e">
        <f t="shared" si="12"/>
        <v>#REF!</v>
      </c>
      <c r="BK15" s="210" t="e">
        <f t="shared" si="12"/>
        <v>#REF!</v>
      </c>
      <c r="BL15" s="210" t="e">
        <f t="shared" si="12"/>
        <v>#REF!</v>
      </c>
      <c r="BM15" s="210" t="e">
        <f t="shared" si="12"/>
        <v>#REF!</v>
      </c>
      <c r="BN15" s="210" t="e">
        <f t="shared" si="12"/>
        <v>#REF!</v>
      </c>
      <c r="BO15" s="210" t="e">
        <f t="shared" si="12"/>
        <v>#REF!</v>
      </c>
      <c r="BP15" s="211" t="e">
        <f t="shared" si="12"/>
        <v>#REF!</v>
      </c>
      <c r="BQ15" s="211" t="e">
        <f t="shared" si="12"/>
        <v>#REF!</v>
      </c>
    </row>
    <row r="16" spans="1:69" ht="12.75" customHeight="1">
      <c r="A16" s="212" t="s">
        <v>421</v>
      </c>
      <c r="B16" s="192"/>
      <c r="C16" s="192"/>
      <c r="D16" s="213" t="e">
        <f t="shared" ref="D16:BQ16" si="13">D8-D15</f>
        <v>#REF!</v>
      </c>
      <c r="E16" s="213" t="e">
        <f t="shared" si="13"/>
        <v>#REF!</v>
      </c>
      <c r="F16" s="213" t="e">
        <f t="shared" si="13"/>
        <v>#REF!</v>
      </c>
      <c r="G16" s="213" t="e">
        <f t="shared" si="13"/>
        <v>#REF!</v>
      </c>
      <c r="H16" s="213" t="e">
        <f t="shared" si="13"/>
        <v>#REF!</v>
      </c>
      <c r="I16" s="213" t="e">
        <f t="shared" si="13"/>
        <v>#REF!</v>
      </c>
      <c r="J16" s="213" t="e">
        <f t="shared" si="13"/>
        <v>#REF!</v>
      </c>
      <c r="K16" s="213" t="e">
        <f t="shared" si="13"/>
        <v>#REF!</v>
      </c>
      <c r="L16" s="213" t="e">
        <f t="shared" si="13"/>
        <v>#REF!</v>
      </c>
      <c r="M16" s="213" t="e">
        <f t="shared" si="13"/>
        <v>#REF!</v>
      </c>
      <c r="N16" s="213" t="e">
        <f t="shared" si="13"/>
        <v>#REF!</v>
      </c>
      <c r="O16" s="213" t="e">
        <f t="shared" si="13"/>
        <v>#REF!</v>
      </c>
      <c r="P16" s="211" t="e">
        <f t="shared" si="13"/>
        <v>#REF!</v>
      </c>
      <c r="Q16" s="213" t="e">
        <f t="shared" si="13"/>
        <v>#REF!</v>
      </c>
      <c r="R16" s="213" t="e">
        <f t="shared" si="13"/>
        <v>#REF!</v>
      </c>
      <c r="S16" s="213" t="e">
        <f t="shared" si="13"/>
        <v>#REF!</v>
      </c>
      <c r="T16" s="213" t="e">
        <f t="shared" si="13"/>
        <v>#REF!</v>
      </c>
      <c r="U16" s="213" t="e">
        <f t="shared" si="13"/>
        <v>#REF!</v>
      </c>
      <c r="V16" s="213" t="e">
        <f t="shared" si="13"/>
        <v>#REF!</v>
      </c>
      <c r="W16" s="213" t="e">
        <f t="shared" si="13"/>
        <v>#REF!</v>
      </c>
      <c r="X16" s="213" t="e">
        <f t="shared" si="13"/>
        <v>#REF!</v>
      </c>
      <c r="Y16" s="213" t="e">
        <f t="shared" si="13"/>
        <v>#REF!</v>
      </c>
      <c r="Z16" s="213" t="e">
        <f t="shared" si="13"/>
        <v>#REF!</v>
      </c>
      <c r="AA16" s="213" t="e">
        <f t="shared" si="13"/>
        <v>#REF!</v>
      </c>
      <c r="AB16" s="213" t="e">
        <f t="shared" si="13"/>
        <v>#REF!</v>
      </c>
      <c r="AC16" s="211" t="e">
        <f t="shared" si="13"/>
        <v>#REF!</v>
      </c>
      <c r="AD16" s="213" t="e">
        <f t="shared" si="13"/>
        <v>#REF!</v>
      </c>
      <c r="AE16" s="213" t="e">
        <f t="shared" si="13"/>
        <v>#REF!</v>
      </c>
      <c r="AF16" s="213" t="e">
        <f t="shared" si="13"/>
        <v>#REF!</v>
      </c>
      <c r="AG16" s="213" t="e">
        <f t="shared" si="13"/>
        <v>#REF!</v>
      </c>
      <c r="AH16" s="213" t="e">
        <f t="shared" si="13"/>
        <v>#REF!</v>
      </c>
      <c r="AI16" s="213" t="e">
        <f t="shared" si="13"/>
        <v>#REF!</v>
      </c>
      <c r="AJ16" s="213" t="e">
        <f t="shared" si="13"/>
        <v>#REF!</v>
      </c>
      <c r="AK16" s="213" t="e">
        <f t="shared" si="13"/>
        <v>#REF!</v>
      </c>
      <c r="AL16" s="213" t="e">
        <f t="shared" si="13"/>
        <v>#REF!</v>
      </c>
      <c r="AM16" s="213" t="e">
        <f t="shared" si="13"/>
        <v>#REF!</v>
      </c>
      <c r="AN16" s="213" t="e">
        <f t="shared" si="13"/>
        <v>#REF!</v>
      </c>
      <c r="AO16" s="213" t="e">
        <f t="shared" si="13"/>
        <v>#REF!</v>
      </c>
      <c r="AP16" s="211" t="e">
        <f t="shared" si="13"/>
        <v>#REF!</v>
      </c>
      <c r="AQ16" s="213" t="e">
        <f t="shared" si="13"/>
        <v>#REF!</v>
      </c>
      <c r="AR16" s="213" t="e">
        <f t="shared" si="13"/>
        <v>#REF!</v>
      </c>
      <c r="AS16" s="213" t="e">
        <f t="shared" si="13"/>
        <v>#REF!</v>
      </c>
      <c r="AT16" s="213" t="e">
        <f t="shared" si="13"/>
        <v>#REF!</v>
      </c>
      <c r="AU16" s="213" t="e">
        <f t="shared" si="13"/>
        <v>#REF!</v>
      </c>
      <c r="AV16" s="213" t="e">
        <f t="shared" si="13"/>
        <v>#REF!</v>
      </c>
      <c r="AW16" s="213" t="e">
        <f t="shared" si="13"/>
        <v>#REF!</v>
      </c>
      <c r="AX16" s="213" t="e">
        <f t="shared" si="13"/>
        <v>#REF!</v>
      </c>
      <c r="AY16" s="213" t="e">
        <f t="shared" si="13"/>
        <v>#REF!</v>
      </c>
      <c r="AZ16" s="213" t="e">
        <f t="shared" si="13"/>
        <v>#REF!</v>
      </c>
      <c r="BA16" s="213" t="e">
        <f t="shared" si="13"/>
        <v>#REF!</v>
      </c>
      <c r="BB16" s="213" t="e">
        <f t="shared" si="13"/>
        <v>#REF!</v>
      </c>
      <c r="BC16" s="211" t="e">
        <f t="shared" si="13"/>
        <v>#REF!</v>
      </c>
      <c r="BD16" s="213" t="e">
        <f t="shared" si="13"/>
        <v>#REF!</v>
      </c>
      <c r="BE16" s="213" t="e">
        <f t="shared" si="13"/>
        <v>#REF!</v>
      </c>
      <c r="BF16" s="213" t="e">
        <f t="shared" si="13"/>
        <v>#REF!</v>
      </c>
      <c r="BG16" s="213" t="e">
        <f t="shared" si="13"/>
        <v>#REF!</v>
      </c>
      <c r="BH16" s="213" t="e">
        <f t="shared" si="13"/>
        <v>#REF!</v>
      </c>
      <c r="BI16" s="213" t="e">
        <f t="shared" si="13"/>
        <v>#REF!</v>
      </c>
      <c r="BJ16" s="213" t="e">
        <f t="shared" si="13"/>
        <v>#REF!</v>
      </c>
      <c r="BK16" s="213" t="e">
        <f t="shared" si="13"/>
        <v>#REF!</v>
      </c>
      <c r="BL16" s="213" t="e">
        <f t="shared" si="13"/>
        <v>#REF!</v>
      </c>
      <c r="BM16" s="213" t="e">
        <f t="shared" si="13"/>
        <v>#REF!</v>
      </c>
      <c r="BN16" s="213" t="e">
        <f t="shared" si="13"/>
        <v>#REF!</v>
      </c>
      <c r="BO16" s="213" t="e">
        <f t="shared" si="13"/>
        <v>#REF!</v>
      </c>
      <c r="BP16" s="211" t="e">
        <f t="shared" si="13"/>
        <v>#REF!</v>
      </c>
      <c r="BQ16" s="211" t="e">
        <f t="shared" si="13"/>
        <v>#REF!</v>
      </c>
    </row>
    <row r="18" spans="1:69" ht="12.75" customHeight="1">
      <c r="A18" s="187"/>
      <c r="B18" s="187" t="s">
        <v>422</v>
      </c>
      <c r="C18" s="187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8"/>
      <c r="BG18" s="198"/>
      <c r="BH18" s="198"/>
      <c r="BI18" s="198"/>
      <c r="BJ18" s="198"/>
      <c r="BK18" s="198"/>
      <c r="BL18" s="198"/>
      <c r="BM18" s="198"/>
      <c r="BN18" s="198"/>
      <c r="BO18" s="198"/>
      <c r="BP18" s="198"/>
      <c r="BQ18" s="198"/>
    </row>
    <row r="19" spans="1:69" ht="12.75" customHeight="1">
      <c r="A19" s="217" t="s">
        <v>513</v>
      </c>
      <c r="B19" s="218"/>
      <c r="C19" s="219" t="e">
        <f t="shared" ref="C19:C21" si="14">#REF!</f>
        <v>#REF!</v>
      </c>
      <c r="D19" s="217" t="e">
        <f t="shared" ref="D19:BQ19" si="15">ROUND(D$16*$C19,0)</f>
        <v>#REF!</v>
      </c>
      <c r="E19" s="217" t="e">
        <f t="shared" si="15"/>
        <v>#REF!</v>
      </c>
      <c r="F19" s="217" t="e">
        <f t="shared" si="15"/>
        <v>#REF!</v>
      </c>
      <c r="G19" s="217" t="e">
        <f t="shared" si="15"/>
        <v>#REF!</v>
      </c>
      <c r="H19" s="217" t="e">
        <f t="shared" si="15"/>
        <v>#REF!</v>
      </c>
      <c r="I19" s="217" t="e">
        <f t="shared" si="15"/>
        <v>#REF!</v>
      </c>
      <c r="J19" s="217" t="e">
        <f t="shared" si="15"/>
        <v>#REF!</v>
      </c>
      <c r="K19" s="217" t="e">
        <f t="shared" si="15"/>
        <v>#REF!</v>
      </c>
      <c r="L19" s="217" t="e">
        <f t="shared" si="15"/>
        <v>#REF!</v>
      </c>
      <c r="M19" s="217" t="e">
        <f t="shared" si="15"/>
        <v>#REF!</v>
      </c>
      <c r="N19" s="217" t="e">
        <f t="shared" si="15"/>
        <v>#REF!</v>
      </c>
      <c r="O19" s="217" t="e">
        <f t="shared" si="15"/>
        <v>#REF!</v>
      </c>
      <c r="P19" s="220" t="e">
        <f t="shared" si="15"/>
        <v>#REF!</v>
      </c>
      <c r="Q19" s="217" t="e">
        <f t="shared" si="15"/>
        <v>#REF!</v>
      </c>
      <c r="R19" s="217" t="e">
        <f t="shared" si="15"/>
        <v>#REF!</v>
      </c>
      <c r="S19" s="217" t="e">
        <f t="shared" si="15"/>
        <v>#REF!</v>
      </c>
      <c r="T19" s="217" t="e">
        <f t="shared" si="15"/>
        <v>#REF!</v>
      </c>
      <c r="U19" s="217" t="e">
        <f t="shared" si="15"/>
        <v>#REF!</v>
      </c>
      <c r="V19" s="217" t="e">
        <f t="shared" si="15"/>
        <v>#REF!</v>
      </c>
      <c r="W19" s="217" t="e">
        <f t="shared" si="15"/>
        <v>#REF!</v>
      </c>
      <c r="X19" s="217" t="e">
        <f t="shared" si="15"/>
        <v>#REF!</v>
      </c>
      <c r="Y19" s="217" t="e">
        <f t="shared" si="15"/>
        <v>#REF!</v>
      </c>
      <c r="Z19" s="217" t="e">
        <f t="shared" si="15"/>
        <v>#REF!</v>
      </c>
      <c r="AA19" s="217" t="e">
        <f t="shared" si="15"/>
        <v>#REF!</v>
      </c>
      <c r="AB19" s="217" t="e">
        <f t="shared" si="15"/>
        <v>#REF!</v>
      </c>
      <c r="AC19" s="220" t="e">
        <f t="shared" si="15"/>
        <v>#REF!</v>
      </c>
      <c r="AD19" s="217" t="e">
        <f t="shared" si="15"/>
        <v>#REF!</v>
      </c>
      <c r="AE19" s="217" t="e">
        <f t="shared" si="15"/>
        <v>#REF!</v>
      </c>
      <c r="AF19" s="217" t="e">
        <f t="shared" si="15"/>
        <v>#REF!</v>
      </c>
      <c r="AG19" s="217" t="e">
        <f t="shared" si="15"/>
        <v>#REF!</v>
      </c>
      <c r="AH19" s="217" t="e">
        <f t="shared" si="15"/>
        <v>#REF!</v>
      </c>
      <c r="AI19" s="217" t="e">
        <f t="shared" si="15"/>
        <v>#REF!</v>
      </c>
      <c r="AJ19" s="217" t="e">
        <f t="shared" si="15"/>
        <v>#REF!</v>
      </c>
      <c r="AK19" s="217" t="e">
        <f t="shared" si="15"/>
        <v>#REF!</v>
      </c>
      <c r="AL19" s="217" t="e">
        <f t="shared" si="15"/>
        <v>#REF!</v>
      </c>
      <c r="AM19" s="217" t="e">
        <f t="shared" si="15"/>
        <v>#REF!</v>
      </c>
      <c r="AN19" s="217" t="e">
        <f t="shared" si="15"/>
        <v>#REF!</v>
      </c>
      <c r="AO19" s="217" t="e">
        <f t="shared" si="15"/>
        <v>#REF!</v>
      </c>
      <c r="AP19" s="220" t="e">
        <f t="shared" si="15"/>
        <v>#REF!</v>
      </c>
      <c r="AQ19" s="217" t="e">
        <f t="shared" si="15"/>
        <v>#REF!</v>
      </c>
      <c r="AR19" s="217" t="e">
        <f t="shared" si="15"/>
        <v>#REF!</v>
      </c>
      <c r="AS19" s="217" t="e">
        <f t="shared" si="15"/>
        <v>#REF!</v>
      </c>
      <c r="AT19" s="217" t="e">
        <f t="shared" si="15"/>
        <v>#REF!</v>
      </c>
      <c r="AU19" s="217" t="e">
        <f t="shared" si="15"/>
        <v>#REF!</v>
      </c>
      <c r="AV19" s="217" t="e">
        <f t="shared" si="15"/>
        <v>#REF!</v>
      </c>
      <c r="AW19" s="217" t="e">
        <f t="shared" si="15"/>
        <v>#REF!</v>
      </c>
      <c r="AX19" s="217" t="e">
        <f t="shared" si="15"/>
        <v>#REF!</v>
      </c>
      <c r="AY19" s="217" t="e">
        <f t="shared" si="15"/>
        <v>#REF!</v>
      </c>
      <c r="AZ19" s="217" t="e">
        <f t="shared" si="15"/>
        <v>#REF!</v>
      </c>
      <c r="BA19" s="217" t="e">
        <f t="shared" si="15"/>
        <v>#REF!</v>
      </c>
      <c r="BB19" s="217" t="e">
        <f t="shared" si="15"/>
        <v>#REF!</v>
      </c>
      <c r="BC19" s="220" t="e">
        <f t="shared" si="15"/>
        <v>#REF!</v>
      </c>
      <c r="BD19" s="217" t="e">
        <f t="shared" si="15"/>
        <v>#REF!</v>
      </c>
      <c r="BE19" s="217" t="e">
        <f t="shared" si="15"/>
        <v>#REF!</v>
      </c>
      <c r="BF19" s="217" t="e">
        <f t="shared" si="15"/>
        <v>#REF!</v>
      </c>
      <c r="BG19" s="217" t="e">
        <f t="shared" si="15"/>
        <v>#REF!</v>
      </c>
      <c r="BH19" s="217" t="e">
        <f t="shared" si="15"/>
        <v>#REF!</v>
      </c>
      <c r="BI19" s="217" t="e">
        <f t="shared" si="15"/>
        <v>#REF!</v>
      </c>
      <c r="BJ19" s="217" t="e">
        <f t="shared" si="15"/>
        <v>#REF!</v>
      </c>
      <c r="BK19" s="217" t="e">
        <f t="shared" si="15"/>
        <v>#REF!</v>
      </c>
      <c r="BL19" s="217" t="e">
        <f t="shared" si="15"/>
        <v>#REF!</v>
      </c>
      <c r="BM19" s="217" t="e">
        <f t="shared" si="15"/>
        <v>#REF!</v>
      </c>
      <c r="BN19" s="217" t="e">
        <f t="shared" si="15"/>
        <v>#REF!</v>
      </c>
      <c r="BO19" s="217" t="e">
        <f t="shared" si="15"/>
        <v>#REF!</v>
      </c>
      <c r="BP19" s="220" t="e">
        <f t="shared" si="15"/>
        <v>#REF!</v>
      </c>
      <c r="BQ19" s="220" t="e">
        <f t="shared" si="15"/>
        <v>#REF!</v>
      </c>
    </row>
    <row r="20" spans="1:69" ht="12.75" customHeight="1">
      <c r="A20" s="221" t="s">
        <v>475</v>
      </c>
      <c r="B20" s="222"/>
      <c r="C20" s="223" t="e">
        <f t="shared" si="14"/>
        <v>#REF!</v>
      </c>
      <c r="D20" s="221" t="e">
        <f t="shared" ref="D20:BQ20" si="16">ROUND(D$16*$C20,0)</f>
        <v>#REF!</v>
      </c>
      <c r="E20" s="221" t="e">
        <f t="shared" si="16"/>
        <v>#REF!</v>
      </c>
      <c r="F20" s="221" t="e">
        <f t="shared" si="16"/>
        <v>#REF!</v>
      </c>
      <c r="G20" s="221" t="e">
        <f t="shared" si="16"/>
        <v>#REF!</v>
      </c>
      <c r="H20" s="221" t="e">
        <f t="shared" si="16"/>
        <v>#REF!</v>
      </c>
      <c r="I20" s="221" t="e">
        <f t="shared" si="16"/>
        <v>#REF!</v>
      </c>
      <c r="J20" s="221" t="e">
        <f t="shared" si="16"/>
        <v>#REF!</v>
      </c>
      <c r="K20" s="221" t="e">
        <f t="shared" si="16"/>
        <v>#REF!</v>
      </c>
      <c r="L20" s="221" t="e">
        <f t="shared" si="16"/>
        <v>#REF!</v>
      </c>
      <c r="M20" s="221" t="e">
        <f t="shared" si="16"/>
        <v>#REF!</v>
      </c>
      <c r="N20" s="221" t="e">
        <f t="shared" si="16"/>
        <v>#REF!</v>
      </c>
      <c r="O20" s="221" t="e">
        <f t="shared" si="16"/>
        <v>#REF!</v>
      </c>
      <c r="P20" s="224" t="e">
        <f t="shared" si="16"/>
        <v>#REF!</v>
      </c>
      <c r="Q20" s="221" t="e">
        <f t="shared" si="16"/>
        <v>#REF!</v>
      </c>
      <c r="R20" s="221" t="e">
        <f t="shared" si="16"/>
        <v>#REF!</v>
      </c>
      <c r="S20" s="221" t="e">
        <f t="shared" si="16"/>
        <v>#REF!</v>
      </c>
      <c r="T20" s="221" t="e">
        <f t="shared" si="16"/>
        <v>#REF!</v>
      </c>
      <c r="U20" s="221" t="e">
        <f t="shared" si="16"/>
        <v>#REF!</v>
      </c>
      <c r="V20" s="221" t="e">
        <f t="shared" si="16"/>
        <v>#REF!</v>
      </c>
      <c r="W20" s="221" t="e">
        <f t="shared" si="16"/>
        <v>#REF!</v>
      </c>
      <c r="X20" s="221" t="e">
        <f t="shared" si="16"/>
        <v>#REF!</v>
      </c>
      <c r="Y20" s="221" t="e">
        <f t="shared" si="16"/>
        <v>#REF!</v>
      </c>
      <c r="Z20" s="221" t="e">
        <f t="shared" si="16"/>
        <v>#REF!</v>
      </c>
      <c r="AA20" s="221" t="e">
        <f t="shared" si="16"/>
        <v>#REF!</v>
      </c>
      <c r="AB20" s="221" t="e">
        <f t="shared" si="16"/>
        <v>#REF!</v>
      </c>
      <c r="AC20" s="224" t="e">
        <f t="shared" si="16"/>
        <v>#REF!</v>
      </c>
      <c r="AD20" s="221" t="e">
        <f t="shared" si="16"/>
        <v>#REF!</v>
      </c>
      <c r="AE20" s="221" t="e">
        <f t="shared" si="16"/>
        <v>#REF!</v>
      </c>
      <c r="AF20" s="221" t="e">
        <f t="shared" si="16"/>
        <v>#REF!</v>
      </c>
      <c r="AG20" s="221" t="e">
        <f t="shared" si="16"/>
        <v>#REF!</v>
      </c>
      <c r="AH20" s="221" t="e">
        <f t="shared" si="16"/>
        <v>#REF!</v>
      </c>
      <c r="AI20" s="221" t="e">
        <f t="shared" si="16"/>
        <v>#REF!</v>
      </c>
      <c r="AJ20" s="221" t="e">
        <f t="shared" si="16"/>
        <v>#REF!</v>
      </c>
      <c r="AK20" s="221" t="e">
        <f t="shared" si="16"/>
        <v>#REF!</v>
      </c>
      <c r="AL20" s="221" t="e">
        <f t="shared" si="16"/>
        <v>#REF!</v>
      </c>
      <c r="AM20" s="221" t="e">
        <f t="shared" si="16"/>
        <v>#REF!</v>
      </c>
      <c r="AN20" s="221" t="e">
        <f t="shared" si="16"/>
        <v>#REF!</v>
      </c>
      <c r="AO20" s="221" t="e">
        <f t="shared" si="16"/>
        <v>#REF!</v>
      </c>
      <c r="AP20" s="224" t="e">
        <f t="shared" si="16"/>
        <v>#REF!</v>
      </c>
      <c r="AQ20" s="221" t="e">
        <f t="shared" si="16"/>
        <v>#REF!</v>
      </c>
      <c r="AR20" s="221" t="e">
        <f t="shared" si="16"/>
        <v>#REF!</v>
      </c>
      <c r="AS20" s="221" t="e">
        <f t="shared" si="16"/>
        <v>#REF!</v>
      </c>
      <c r="AT20" s="221" t="e">
        <f t="shared" si="16"/>
        <v>#REF!</v>
      </c>
      <c r="AU20" s="221" t="e">
        <f t="shared" si="16"/>
        <v>#REF!</v>
      </c>
      <c r="AV20" s="221" t="e">
        <f t="shared" si="16"/>
        <v>#REF!</v>
      </c>
      <c r="AW20" s="221" t="e">
        <f t="shared" si="16"/>
        <v>#REF!</v>
      </c>
      <c r="AX20" s="221" t="e">
        <f t="shared" si="16"/>
        <v>#REF!</v>
      </c>
      <c r="AY20" s="221" t="e">
        <f t="shared" si="16"/>
        <v>#REF!</v>
      </c>
      <c r="AZ20" s="221" t="e">
        <f t="shared" si="16"/>
        <v>#REF!</v>
      </c>
      <c r="BA20" s="221" t="e">
        <f t="shared" si="16"/>
        <v>#REF!</v>
      </c>
      <c r="BB20" s="221" t="e">
        <f t="shared" si="16"/>
        <v>#REF!</v>
      </c>
      <c r="BC20" s="224" t="e">
        <f t="shared" si="16"/>
        <v>#REF!</v>
      </c>
      <c r="BD20" s="221" t="e">
        <f t="shared" si="16"/>
        <v>#REF!</v>
      </c>
      <c r="BE20" s="221" t="e">
        <f t="shared" si="16"/>
        <v>#REF!</v>
      </c>
      <c r="BF20" s="221" t="e">
        <f t="shared" si="16"/>
        <v>#REF!</v>
      </c>
      <c r="BG20" s="221" t="e">
        <f t="shared" si="16"/>
        <v>#REF!</v>
      </c>
      <c r="BH20" s="221" t="e">
        <f t="shared" si="16"/>
        <v>#REF!</v>
      </c>
      <c r="BI20" s="221" t="e">
        <f t="shared" si="16"/>
        <v>#REF!</v>
      </c>
      <c r="BJ20" s="221" t="e">
        <f t="shared" si="16"/>
        <v>#REF!</v>
      </c>
      <c r="BK20" s="221" t="e">
        <f t="shared" si="16"/>
        <v>#REF!</v>
      </c>
      <c r="BL20" s="221" t="e">
        <f t="shared" si="16"/>
        <v>#REF!</v>
      </c>
      <c r="BM20" s="221" t="e">
        <f t="shared" si="16"/>
        <v>#REF!</v>
      </c>
      <c r="BN20" s="221" t="e">
        <f t="shared" si="16"/>
        <v>#REF!</v>
      </c>
      <c r="BO20" s="221" t="e">
        <f t="shared" si="16"/>
        <v>#REF!</v>
      </c>
      <c r="BP20" s="224" t="e">
        <f t="shared" si="16"/>
        <v>#REF!</v>
      </c>
      <c r="BQ20" s="224" t="e">
        <f t="shared" si="16"/>
        <v>#REF!</v>
      </c>
    </row>
    <row r="21" spans="1:69" ht="12.75" customHeight="1">
      <c r="A21" s="229" t="s">
        <v>131</v>
      </c>
      <c r="B21" s="230"/>
      <c r="C21" s="231" t="e">
        <f t="shared" si="14"/>
        <v>#REF!</v>
      </c>
      <c r="D21" s="229" t="e">
        <f t="shared" ref="D21:BQ21" si="17">ROUND(D$16*$C21,0)</f>
        <v>#REF!</v>
      </c>
      <c r="E21" s="229" t="e">
        <f t="shared" si="17"/>
        <v>#REF!</v>
      </c>
      <c r="F21" s="229" t="e">
        <f t="shared" si="17"/>
        <v>#REF!</v>
      </c>
      <c r="G21" s="229" t="e">
        <f t="shared" si="17"/>
        <v>#REF!</v>
      </c>
      <c r="H21" s="229" t="e">
        <f t="shared" si="17"/>
        <v>#REF!</v>
      </c>
      <c r="I21" s="229" t="e">
        <f t="shared" si="17"/>
        <v>#REF!</v>
      </c>
      <c r="J21" s="229" t="e">
        <f t="shared" si="17"/>
        <v>#REF!</v>
      </c>
      <c r="K21" s="229" t="e">
        <f t="shared" si="17"/>
        <v>#REF!</v>
      </c>
      <c r="L21" s="229" t="e">
        <f t="shared" si="17"/>
        <v>#REF!</v>
      </c>
      <c r="M21" s="229" t="e">
        <f t="shared" si="17"/>
        <v>#REF!</v>
      </c>
      <c r="N21" s="229" t="e">
        <f t="shared" si="17"/>
        <v>#REF!</v>
      </c>
      <c r="O21" s="229" t="e">
        <f t="shared" si="17"/>
        <v>#REF!</v>
      </c>
      <c r="P21" s="232" t="e">
        <f t="shared" si="17"/>
        <v>#REF!</v>
      </c>
      <c r="Q21" s="229" t="e">
        <f t="shared" si="17"/>
        <v>#REF!</v>
      </c>
      <c r="R21" s="229" t="e">
        <f t="shared" si="17"/>
        <v>#REF!</v>
      </c>
      <c r="S21" s="229" t="e">
        <f t="shared" si="17"/>
        <v>#REF!</v>
      </c>
      <c r="T21" s="229" t="e">
        <f t="shared" si="17"/>
        <v>#REF!</v>
      </c>
      <c r="U21" s="229" t="e">
        <f t="shared" si="17"/>
        <v>#REF!</v>
      </c>
      <c r="V21" s="229" t="e">
        <f t="shared" si="17"/>
        <v>#REF!</v>
      </c>
      <c r="W21" s="229" t="e">
        <f t="shared" si="17"/>
        <v>#REF!</v>
      </c>
      <c r="X21" s="229" t="e">
        <f t="shared" si="17"/>
        <v>#REF!</v>
      </c>
      <c r="Y21" s="229" t="e">
        <f t="shared" si="17"/>
        <v>#REF!</v>
      </c>
      <c r="Z21" s="229" t="e">
        <f t="shared" si="17"/>
        <v>#REF!</v>
      </c>
      <c r="AA21" s="229" t="e">
        <f t="shared" si="17"/>
        <v>#REF!</v>
      </c>
      <c r="AB21" s="229" t="e">
        <f t="shared" si="17"/>
        <v>#REF!</v>
      </c>
      <c r="AC21" s="232" t="e">
        <f t="shared" si="17"/>
        <v>#REF!</v>
      </c>
      <c r="AD21" s="229" t="e">
        <f t="shared" si="17"/>
        <v>#REF!</v>
      </c>
      <c r="AE21" s="229" t="e">
        <f t="shared" si="17"/>
        <v>#REF!</v>
      </c>
      <c r="AF21" s="229" t="e">
        <f t="shared" si="17"/>
        <v>#REF!</v>
      </c>
      <c r="AG21" s="229" t="e">
        <f t="shared" si="17"/>
        <v>#REF!</v>
      </c>
      <c r="AH21" s="229" t="e">
        <f t="shared" si="17"/>
        <v>#REF!</v>
      </c>
      <c r="AI21" s="229" t="e">
        <f t="shared" si="17"/>
        <v>#REF!</v>
      </c>
      <c r="AJ21" s="229" t="e">
        <f t="shared" si="17"/>
        <v>#REF!</v>
      </c>
      <c r="AK21" s="229" t="e">
        <f t="shared" si="17"/>
        <v>#REF!</v>
      </c>
      <c r="AL21" s="229" t="e">
        <f t="shared" si="17"/>
        <v>#REF!</v>
      </c>
      <c r="AM21" s="229" t="e">
        <f t="shared" si="17"/>
        <v>#REF!</v>
      </c>
      <c r="AN21" s="229" t="e">
        <f t="shared" si="17"/>
        <v>#REF!</v>
      </c>
      <c r="AO21" s="229" t="e">
        <f t="shared" si="17"/>
        <v>#REF!</v>
      </c>
      <c r="AP21" s="232" t="e">
        <f t="shared" si="17"/>
        <v>#REF!</v>
      </c>
      <c r="AQ21" s="229" t="e">
        <f t="shared" si="17"/>
        <v>#REF!</v>
      </c>
      <c r="AR21" s="229" t="e">
        <f t="shared" si="17"/>
        <v>#REF!</v>
      </c>
      <c r="AS21" s="229" t="e">
        <f t="shared" si="17"/>
        <v>#REF!</v>
      </c>
      <c r="AT21" s="229" t="e">
        <f t="shared" si="17"/>
        <v>#REF!</v>
      </c>
      <c r="AU21" s="229" t="e">
        <f t="shared" si="17"/>
        <v>#REF!</v>
      </c>
      <c r="AV21" s="229" t="e">
        <f t="shared" si="17"/>
        <v>#REF!</v>
      </c>
      <c r="AW21" s="229" t="e">
        <f t="shared" si="17"/>
        <v>#REF!</v>
      </c>
      <c r="AX21" s="229" t="e">
        <f t="shared" si="17"/>
        <v>#REF!</v>
      </c>
      <c r="AY21" s="229" t="e">
        <f t="shared" si="17"/>
        <v>#REF!</v>
      </c>
      <c r="AZ21" s="229" t="e">
        <f t="shared" si="17"/>
        <v>#REF!</v>
      </c>
      <c r="BA21" s="229" t="e">
        <f t="shared" si="17"/>
        <v>#REF!</v>
      </c>
      <c r="BB21" s="229" t="e">
        <f t="shared" si="17"/>
        <v>#REF!</v>
      </c>
      <c r="BC21" s="232" t="e">
        <f t="shared" si="17"/>
        <v>#REF!</v>
      </c>
      <c r="BD21" s="229" t="e">
        <f t="shared" si="17"/>
        <v>#REF!</v>
      </c>
      <c r="BE21" s="229" t="e">
        <f t="shared" si="17"/>
        <v>#REF!</v>
      </c>
      <c r="BF21" s="229" t="e">
        <f t="shared" si="17"/>
        <v>#REF!</v>
      </c>
      <c r="BG21" s="229" t="e">
        <f t="shared" si="17"/>
        <v>#REF!</v>
      </c>
      <c r="BH21" s="229" t="e">
        <f t="shared" si="17"/>
        <v>#REF!</v>
      </c>
      <c r="BI21" s="229" t="e">
        <f t="shared" si="17"/>
        <v>#REF!</v>
      </c>
      <c r="BJ21" s="229" t="e">
        <f t="shared" si="17"/>
        <v>#REF!</v>
      </c>
      <c r="BK21" s="229" t="e">
        <f t="shared" si="17"/>
        <v>#REF!</v>
      </c>
      <c r="BL21" s="229" t="e">
        <f t="shared" si="17"/>
        <v>#REF!</v>
      </c>
      <c r="BM21" s="229" t="e">
        <f t="shared" si="17"/>
        <v>#REF!</v>
      </c>
      <c r="BN21" s="229" t="e">
        <f t="shared" si="17"/>
        <v>#REF!</v>
      </c>
      <c r="BO21" s="229" t="e">
        <f t="shared" si="17"/>
        <v>#REF!</v>
      </c>
      <c r="BP21" s="232" t="e">
        <f t="shared" si="17"/>
        <v>#REF!</v>
      </c>
      <c r="BQ21" s="232" t="e">
        <f t="shared" si="17"/>
        <v>#REF!</v>
      </c>
    </row>
    <row r="22" spans="1:69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62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162"/>
      <c r="BM22" s="162"/>
      <c r="BN22" s="162"/>
      <c r="BO22" s="162"/>
      <c r="BP22" s="162"/>
      <c r="BQ22" s="162"/>
    </row>
    <row r="23" spans="1:69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6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</row>
    <row r="24" spans="1:69" ht="12.75" hidden="1" customHeight="1">
      <c r="A24" s="1" t="s">
        <v>510</v>
      </c>
      <c r="B24" s="1"/>
      <c r="C24" s="1"/>
      <c r="D24" s="285" t="e">
        <f t="shared" ref="D24:BQ24" si="18">ROUND(D20/D6,0)</f>
        <v>#REF!</v>
      </c>
      <c r="E24" s="285" t="e">
        <f t="shared" si="18"/>
        <v>#REF!</v>
      </c>
      <c r="F24" s="285" t="e">
        <f t="shared" si="18"/>
        <v>#REF!</v>
      </c>
      <c r="G24" s="285" t="e">
        <f t="shared" si="18"/>
        <v>#REF!</v>
      </c>
      <c r="H24" s="285" t="e">
        <f t="shared" si="18"/>
        <v>#REF!</v>
      </c>
      <c r="I24" s="285" t="e">
        <f t="shared" si="18"/>
        <v>#REF!</v>
      </c>
      <c r="J24" s="285" t="e">
        <f t="shared" si="18"/>
        <v>#REF!</v>
      </c>
      <c r="K24" s="285" t="e">
        <f t="shared" si="18"/>
        <v>#REF!</v>
      </c>
      <c r="L24" s="285" t="e">
        <f t="shared" si="18"/>
        <v>#REF!</v>
      </c>
      <c r="M24" s="285" t="e">
        <f t="shared" si="18"/>
        <v>#REF!</v>
      </c>
      <c r="N24" s="285" t="e">
        <f t="shared" si="18"/>
        <v>#REF!</v>
      </c>
      <c r="O24" s="285" t="e">
        <f t="shared" si="18"/>
        <v>#REF!</v>
      </c>
      <c r="P24" s="285" t="e">
        <f t="shared" si="18"/>
        <v>#REF!</v>
      </c>
      <c r="Q24" s="285" t="e">
        <f t="shared" si="18"/>
        <v>#REF!</v>
      </c>
      <c r="R24" s="285" t="e">
        <f t="shared" si="18"/>
        <v>#REF!</v>
      </c>
      <c r="S24" s="285" t="e">
        <f t="shared" si="18"/>
        <v>#REF!</v>
      </c>
      <c r="T24" s="285" t="e">
        <f t="shared" si="18"/>
        <v>#REF!</v>
      </c>
      <c r="U24" s="285" t="e">
        <f t="shared" si="18"/>
        <v>#REF!</v>
      </c>
      <c r="V24" s="285" t="e">
        <f t="shared" si="18"/>
        <v>#REF!</v>
      </c>
      <c r="W24" s="285" t="e">
        <f t="shared" si="18"/>
        <v>#REF!</v>
      </c>
      <c r="X24" s="285" t="e">
        <f t="shared" si="18"/>
        <v>#REF!</v>
      </c>
      <c r="Y24" s="285" t="e">
        <f t="shared" si="18"/>
        <v>#REF!</v>
      </c>
      <c r="Z24" s="285" t="e">
        <f t="shared" si="18"/>
        <v>#REF!</v>
      </c>
      <c r="AA24" s="285" t="e">
        <f t="shared" si="18"/>
        <v>#REF!</v>
      </c>
      <c r="AB24" s="285" t="e">
        <f t="shared" si="18"/>
        <v>#REF!</v>
      </c>
      <c r="AC24" s="285" t="e">
        <f t="shared" si="18"/>
        <v>#REF!</v>
      </c>
      <c r="AD24" s="285" t="e">
        <f t="shared" si="18"/>
        <v>#REF!</v>
      </c>
      <c r="AE24" s="285" t="e">
        <f t="shared" si="18"/>
        <v>#REF!</v>
      </c>
      <c r="AF24" s="285" t="e">
        <f t="shared" si="18"/>
        <v>#REF!</v>
      </c>
      <c r="AG24" s="285" t="e">
        <f t="shared" si="18"/>
        <v>#REF!</v>
      </c>
      <c r="AH24" s="285" t="e">
        <f t="shared" si="18"/>
        <v>#REF!</v>
      </c>
      <c r="AI24" s="285" t="e">
        <f t="shared" si="18"/>
        <v>#REF!</v>
      </c>
      <c r="AJ24" s="285" t="e">
        <f t="shared" si="18"/>
        <v>#REF!</v>
      </c>
      <c r="AK24" s="285" t="e">
        <f t="shared" si="18"/>
        <v>#REF!</v>
      </c>
      <c r="AL24" s="285" t="e">
        <f t="shared" si="18"/>
        <v>#REF!</v>
      </c>
      <c r="AM24" s="285" t="e">
        <f t="shared" si="18"/>
        <v>#REF!</v>
      </c>
      <c r="AN24" s="285" t="e">
        <f t="shared" si="18"/>
        <v>#REF!</v>
      </c>
      <c r="AO24" s="285" t="e">
        <f t="shared" si="18"/>
        <v>#REF!</v>
      </c>
      <c r="AP24" s="285" t="e">
        <f t="shared" si="18"/>
        <v>#REF!</v>
      </c>
      <c r="AQ24" s="285" t="e">
        <f t="shared" si="18"/>
        <v>#REF!</v>
      </c>
      <c r="AR24" s="285" t="e">
        <f t="shared" si="18"/>
        <v>#REF!</v>
      </c>
      <c r="AS24" s="285" t="e">
        <f t="shared" si="18"/>
        <v>#REF!</v>
      </c>
      <c r="AT24" s="285" t="e">
        <f t="shared" si="18"/>
        <v>#REF!</v>
      </c>
      <c r="AU24" s="285" t="e">
        <f t="shared" si="18"/>
        <v>#REF!</v>
      </c>
      <c r="AV24" s="285" t="e">
        <f t="shared" si="18"/>
        <v>#REF!</v>
      </c>
      <c r="AW24" s="285" t="e">
        <f t="shared" si="18"/>
        <v>#REF!</v>
      </c>
      <c r="AX24" s="285" t="e">
        <f t="shared" si="18"/>
        <v>#REF!</v>
      </c>
      <c r="AY24" s="285" t="e">
        <f t="shared" si="18"/>
        <v>#REF!</v>
      </c>
      <c r="AZ24" s="285" t="e">
        <f t="shared" si="18"/>
        <v>#REF!</v>
      </c>
      <c r="BA24" s="285" t="e">
        <f t="shared" si="18"/>
        <v>#REF!</v>
      </c>
      <c r="BB24" s="285" t="e">
        <f t="shared" si="18"/>
        <v>#REF!</v>
      </c>
      <c r="BC24" s="285" t="e">
        <f t="shared" si="18"/>
        <v>#REF!</v>
      </c>
      <c r="BD24" s="285" t="e">
        <f t="shared" si="18"/>
        <v>#REF!</v>
      </c>
      <c r="BE24" s="285" t="e">
        <f t="shared" si="18"/>
        <v>#REF!</v>
      </c>
      <c r="BF24" s="285" t="e">
        <f t="shared" si="18"/>
        <v>#REF!</v>
      </c>
      <c r="BG24" s="285" t="e">
        <f t="shared" si="18"/>
        <v>#REF!</v>
      </c>
      <c r="BH24" s="285" t="e">
        <f t="shared" si="18"/>
        <v>#REF!</v>
      </c>
      <c r="BI24" s="285" t="e">
        <f t="shared" si="18"/>
        <v>#REF!</v>
      </c>
      <c r="BJ24" s="285" t="e">
        <f t="shared" si="18"/>
        <v>#REF!</v>
      </c>
      <c r="BK24" s="285" t="e">
        <f t="shared" si="18"/>
        <v>#REF!</v>
      </c>
      <c r="BL24" s="285" t="e">
        <f t="shared" si="18"/>
        <v>#REF!</v>
      </c>
      <c r="BM24" s="285" t="e">
        <f t="shared" si="18"/>
        <v>#REF!</v>
      </c>
      <c r="BN24" s="285" t="e">
        <f t="shared" si="18"/>
        <v>#REF!</v>
      </c>
      <c r="BO24" s="285" t="e">
        <f t="shared" si="18"/>
        <v>#REF!</v>
      </c>
      <c r="BP24" s="285" t="e">
        <f t="shared" si="18"/>
        <v>#REF!</v>
      </c>
      <c r="BQ24" s="285" t="e">
        <f t="shared" si="18"/>
        <v>#REF!</v>
      </c>
    </row>
  </sheetData>
  <mergeCells count="1">
    <mergeCell ref="A1:B1"/>
  </mergeCells>
  <pageMargins left="0.7" right="0.7" top="0.75" bottom="0.75" header="0" footer="0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Q2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2.5" defaultRowHeight="15" customHeight="1"/>
  <cols>
    <col min="1" max="1" width="2.1640625" customWidth="1"/>
    <col min="2" max="3" width="33.5" customWidth="1"/>
    <col min="4" max="23" width="11.5" customWidth="1"/>
    <col min="24" max="24" width="13.33203125" customWidth="1"/>
    <col min="25" max="41" width="11.5" customWidth="1"/>
    <col min="42" max="68" width="14.6640625" customWidth="1"/>
    <col min="69" max="69" width="13.5" customWidth="1"/>
    <col min="70" max="89" width="8" customWidth="1"/>
  </cols>
  <sheetData>
    <row r="1" spans="1:69" ht="12.75" customHeight="1">
      <c r="A1" s="1120" t="s">
        <v>378</v>
      </c>
      <c r="B1" s="1121"/>
      <c r="C1" s="14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62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</row>
    <row r="2" spans="1:69" ht="12.75" customHeight="1">
      <c r="A2" s="26"/>
      <c r="B2" s="1"/>
      <c r="C2" s="1"/>
      <c r="D2" s="1"/>
      <c r="E2" s="1"/>
      <c r="F2" s="1"/>
      <c r="G2" s="28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6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</row>
    <row r="3" spans="1:69" ht="12.75" customHeight="1">
      <c r="A3" s="1"/>
      <c r="B3" s="1"/>
      <c r="C3" s="1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62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</row>
    <row r="4" spans="1:69" ht="12.75" customHeight="1">
      <c r="A4" s="184"/>
      <c r="B4" s="184"/>
      <c r="C4" s="184"/>
      <c r="D4" s="185" t="s">
        <v>49</v>
      </c>
      <c r="E4" s="185" t="s">
        <v>50</v>
      </c>
      <c r="F4" s="185" t="s">
        <v>51</v>
      </c>
      <c r="G4" s="185" t="s">
        <v>52</v>
      </c>
      <c r="H4" s="185" t="s">
        <v>53</v>
      </c>
      <c r="I4" s="185" t="s">
        <v>54</v>
      </c>
      <c r="J4" s="185" t="s">
        <v>55</v>
      </c>
      <c r="K4" s="185" t="s">
        <v>56</v>
      </c>
      <c r="L4" s="185" t="s">
        <v>57</v>
      </c>
      <c r="M4" s="185" t="s">
        <v>58</v>
      </c>
      <c r="N4" s="185" t="s">
        <v>59</v>
      </c>
      <c r="O4" s="185" t="s">
        <v>60</v>
      </c>
      <c r="P4" s="186" t="s">
        <v>65</v>
      </c>
      <c r="Q4" s="185" t="s">
        <v>291</v>
      </c>
      <c r="R4" s="185" t="s">
        <v>308</v>
      </c>
      <c r="S4" s="185" t="s">
        <v>309</v>
      </c>
      <c r="T4" s="185" t="s">
        <v>310</v>
      </c>
      <c r="U4" s="185" t="s">
        <v>311</v>
      </c>
      <c r="V4" s="185" t="s">
        <v>312</v>
      </c>
      <c r="W4" s="185" t="s">
        <v>313</v>
      </c>
      <c r="X4" s="185" t="s">
        <v>314</v>
      </c>
      <c r="Y4" s="185" t="s">
        <v>315</v>
      </c>
      <c r="Z4" s="185" t="s">
        <v>316</v>
      </c>
      <c r="AA4" s="185" t="s">
        <v>317</v>
      </c>
      <c r="AB4" s="185" t="s">
        <v>318</v>
      </c>
      <c r="AC4" s="186" t="s">
        <v>121</v>
      </c>
      <c r="AD4" s="185" t="s">
        <v>319</v>
      </c>
      <c r="AE4" s="185" t="s">
        <v>320</v>
      </c>
      <c r="AF4" s="185" t="s">
        <v>321</v>
      </c>
      <c r="AG4" s="185" t="s">
        <v>322</v>
      </c>
      <c r="AH4" s="185" t="s">
        <v>323</v>
      </c>
      <c r="AI4" s="185" t="s">
        <v>324</v>
      </c>
      <c r="AJ4" s="185" t="s">
        <v>325</v>
      </c>
      <c r="AK4" s="185" t="s">
        <v>326</v>
      </c>
      <c r="AL4" s="185" t="s">
        <v>327</v>
      </c>
      <c r="AM4" s="185" t="s">
        <v>328</v>
      </c>
      <c r="AN4" s="185" t="s">
        <v>329</v>
      </c>
      <c r="AO4" s="185" t="s">
        <v>330</v>
      </c>
      <c r="AP4" s="186" t="s">
        <v>122</v>
      </c>
      <c r="AQ4" s="185" t="s">
        <v>331</v>
      </c>
      <c r="AR4" s="185" t="s">
        <v>332</v>
      </c>
      <c r="AS4" s="185" t="s">
        <v>333</v>
      </c>
      <c r="AT4" s="185" t="s">
        <v>334</v>
      </c>
      <c r="AU4" s="185" t="s">
        <v>335</v>
      </c>
      <c r="AV4" s="185" t="s">
        <v>336</v>
      </c>
      <c r="AW4" s="185" t="s">
        <v>337</v>
      </c>
      <c r="AX4" s="185" t="s">
        <v>338</v>
      </c>
      <c r="AY4" s="185" t="s">
        <v>339</v>
      </c>
      <c r="AZ4" s="185" t="s">
        <v>340</v>
      </c>
      <c r="BA4" s="185" t="s">
        <v>341</v>
      </c>
      <c r="BB4" s="185" t="s">
        <v>342</v>
      </c>
      <c r="BC4" s="186" t="s">
        <v>123</v>
      </c>
      <c r="BD4" s="185" t="s">
        <v>343</v>
      </c>
      <c r="BE4" s="185" t="s">
        <v>344</v>
      </c>
      <c r="BF4" s="185" t="s">
        <v>345</v>
      </c>
      <c r="BG4" s="185" t="s">
        <v>346</v>
      </c>
      <c r="BH4" s="185" t="s">
        <v>347</v>
      </c>
      <c r="BI4" s="185" t="s">
        <v>348</v>
      </c>
      <c r="BJ4" s="185" t="s">
        <v>349</v>
      </c>
      <c r="BK4" s="185" t="s">
        <v>350</v>
      </c>
      <c r="BL4" s="185" t="s">
        <v>351</v>
      </c>
      <c r="BM4" s="185" t="s">
        <v>352</v>
      </c>
      <c r="BN4" s="185" t="s">
        <v>353</v>
      </c>
      <c r="BO4" s="185" t="s">
        <v>354</v>
      </c>
      <c r="BP4" s="186" t="s">
        <v>124</v>
      </c>
      <c r="BQ4" s="236" t="s">
        <v>460</v>
      </c>
    </row>
    <row r="5" spans="1:69" ht="12.75" customHeight="1">
      <c r="A5" s="187"/>
      <c r="B5" s="187" t="s">
        <v>20</v>
      </c>
      <c r="C5" s="187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90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90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90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90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90"/>
      <c r="BQ5" s="237"/>
    </row>
    <row r="6" spans="1:69" ht="12.75" customHeight="1">
      <c r="A6" s="1"/>
      <c r="B6" s="162" t="s">
        <v>475</v>
      </c>
      <c r="C6" s="162"/>
      <c r="D6" s="282">
        <v>0</v>
      </c>
      <c r="E6" s="282">
        <v>0</v>
      </c>
      <c r="F6" s="282">
        <v>0</v>
      </c>
      <c r="G6" s="282" t="e">
        <f>'Inside Card Rev'!G6/10</f>
        <v>#REF!</v>
      </c>
      <c r="H6" s="282" t="e">
        <f>'Inside Card Rev'!H6/9</f>
        <v>#REF!</v>
      </c>
      <c r="I6" s="282" t="e">
        <f>'Inside Card Rev'!I6/8</f>
        <v>#REF!</v>
      </c>
      <c r="J6" s="282" t="e">
        <f>'Inside Card Rev'!J6/7</f>
        <v>#REF!</v>
      </c>
      <c r="K6" s="282" t="e">
        <f>'Inside Card Rev'!K6/6</f>
        <v>#REF!</v>
      </c>
      <c r="L6" s="282" t="e">
        <f>'Inside Card Rev'!L6/5</f>
        <v>#REF!</v>
      </c>
      <c r="M6" s="282" t="e">
        <f>'Inside Card Rev'!M6/4</f>
        <v>#REF!</v>
      </c>
      <c r="N6" s="282" t="e">
        <f>'Inside Card Rev'!N6/3</f>
        <v>#REF!</v>
      </c>
      <c r="O6" s="282" t="e">
        <f>'Inside Card Rev'!O6/2</f>
        <v>#REF!</v>
      </c>
      <c r="P6" s="205" t="e">
        <f>SUM(D6:O6)</f>
        <v>#REF!</v>
      </c>
      <c r="Q6" s="282" t="e">
        <f>'Inside Card Rev'!Q6</f>
        <v>#REF!</v>
      </c>
      <c r="R6" s="282" t="e">
        <f>'Inside Card Rev'!R6</f>
        <v>#REF!</v>
      </c>
      <c r="S6" s="282" t="e">
        <f>'Inside Card Rev'!S6</f>
        <v>#REF!</v>
      </c>
      <c r="T6" s="282" t="e">
        <f>'Inside Card Rev'!T6</f>
        <v>#REF!</v>
      </c>
      <c r="U6" s="282" t="e">
        <f>'Inside Card Rev'!U6</f>
        <v>#REF!</v>
      </c>
      <c r="V6" s="282" t="e">
        <f>'Inside Card Rev'!V6</f>
        <v>#REF!</v>
      </c>
      <c r="W6" s="282" t="e">
        <f>'Inside Card Rev'!W6</f>
        <v>#REF!</v>
      </c>
      <c r="X6" s="282" t="e">
        <f>'Inside Card Rev'!X6</f>
        <v>#REF!</v>
      </c>
      <c r="Y6" s="282" t="e">
        <f>'Inside Card Rev'!Y6</f>
        <v>#REF!</v>
      </c>
      <c r="Z6" s="282" t="e">
        <f>'Inside Card Rev'!Z6</f>
        <v>#REF!</v>
      </c>
      <c r="AA6" s="282" t="e">
        <f>'Inside Card Rev'!AA6</f>
        <v>#REF!</v>
      </c>
      <c r="AB6" s="282" t="e">
        <f>'Inside Card Rev'!AB6</f>
        <v>#REF!</v>
      </c>
      <c r="AC6" s="205" t="e">
        <f>SUM(Q6:AB6)</f>
        <v>#REF!</v>
      </c>
      <c r="AD6" s="282" t="e">
        <f>'Inside Card Rev'!AD6</f>
        <v>#REF!</v>
      </c>
      <c r="AE6" s="282" t="e">
        <f>'Inside Card Rev'!AE6</f>
        <v>#REF!</v>
      </c>
      <c r="AF6" s="282" t="e">
        <f>'Inside Card Rev'!AF6</f>
        <v>#REF!</v>
      </c>
      <c r="AG6" s="282" t="e">
        <f>'Inside Card Rev'!AG6</f>
        <v>#REF!</v>
      </c>
      <c r="AH6" s="282" t="e">
        <f>'Inside Card Rev'!AH6</f>
        <v>#REF!</v>
      </c>
      <c r="AI6" s="282" t="e">
        <f>'Inside Card Rev'!AI6</f>
        <v>#REF!</v>
      </c>
      <c r="AJ6" s="282" t="e">
        <f>'Inside Card Rev'!AJ6</f>
        <v>#REF!</v>
      </c>
      <c r="AK6" s="282" t="e">
        <f>'Inside Card Rev'!AK6</f>
        <v>#REF!</v>
      </c>
      <c r="AL6" s="282" t="e">
        <f>'Inside Card Rev'!AL6</f>
        <v>#REF!</v>
      </c>
      <c r="AM6" s="282" t="e">
        <f>'Inside Card Rev'!AM6</f>
        <v>#REF!</v>
      </c>
      <c r="AN6" s="282" t="e">
        <f>'Inside Card Rev'!AN6</f>
        <v>#REF!</v>
      </c>
      <c r="AO6" s="282" t="e">
        <f>'Inside Card Rev'!AO6</f>
        <v>#REF!</v>
      </c>
      <c r="AP6" s="205" t="e">
        <f>SUM(AD6:AO6)</f>
        <v>#REF!</v>
      </c>
      <c r="AQ6" s="282" t="e">
        <f>'Inside Card Rev'!AQ6</f>
        <v>#REF!</v>
      </c>
      <c r="AR6" s="282" t="e">
        <f>'Inside Card Rev'!AR6</f>
        <v>#REF!</v>
      </c>
      <c r="AS6" s="282" t="e">
        <f>'Inside Card Rev'!AS6</f>
        <v>#REF!</v>
      </c>
      <c r="AT6" s="282" t="e">
        <f>'Inside Card Rev'!AT6</f>
        <v>#REF!</v>
      </c>
      <c r="AU6" s="282" t="e">
        <f>'Inside Card Rev'!AU6</f>
        <v>#REF!</v>
      </c>
      <c r="AV6" s="282" t="e">
        <f>'Inside Card Rev'!AV6</f>
        <v>#REF!</v>
      </c>
      <c r="AW6" s="282" t="e">
        <f>'Inside Card Rev'!AW6</f>
        <v>#REF!</v>
      </c>
      <c r="AX6" s="282" t="e">
        <f>'Inside Card Rev'!AX6</f>
        <v>#REF!</v>
      </c>
      <c r="AY6" s="282" t="e">
        <f>'Inside Card Rev'!AY6</f>
        <v>#REF!</v>
      </c>
      <c r="AZ6" s="282" t="e">
        <f>'Inside Card Rev'!AZ6</f>
        <v>#REF!</v>
      </c>
      <c r="BA6" s="282" t="e">
        <f>'Inside Card Rev'!BA6</f>
        <v>#REF!</v>
      </c>
      <c r="BB6" s="282" t="e">
        <f>'Inside Card Rev'!BB6</f>
        <v>#REF!</v>
      </c>
      <c r="BC6" s="205" t="e">
        <f>SUM(AQ6:BB6)</f>
        <v>#REF!</v>
      </c>
      <c r="BD6" s="282" t="e">
        <f>'Inside Card Rev'!BD6</f>
        <v>#REF!</v>
      </c>
      <c r="BE6" s="282" t="e">
        <f>'Inside Card Rev'!BE6</f>
        <v>#REF!</v>
      </c>
      <c r="BF6" s="282" t="e">
        <f>'Inside Card Rev'!BF6</f>
        <v>#REF!</v>
      </c>
      <c r="BG6" s="282" t="e">
        <f>'Inside Card Rev'!BG6</f>
        <v>#REF!</v>
      </c>
      <c r="BH6" s="282" t="e">
        <f>'Inside Card Rev'!BH6</f>
        <v>#REF!</v>
      </c>
      <c r="BI6" s="282" t="e">
        <f>'Inside Card Rev'!BI6</f>
        <v>#REF!</v>
      </c>
      <c r="BJ6" s="282" t="e">
        <f>'Inside Card Rev'!BJ6</f>
        <v>#REF!</v>
      </c>
      <c r="BK6" s="282" t="e">
        <f>'Inside Card Rev'!BK6</f>
        <v>#REF!</v>
      </c>
      <c r="BL6" s="282" t="e">
        <f>'Inside Card Rev'!BL6</f>
        <v>#REF!</v>
      </c>
      <c r="BM6" s="282" t="e">
        <f>'Inside Card Rev'!BM6</f>
        <v>#REF!</v>
      </c>
      <c r="BN6" s="282" t="e">
        <f>'Inside Card Rev'!BN6</f>
        <v>#REF!</v>
      </c>
      <c r="BO6" s="282" t="e">
        <f>'Inside Card Rev'!BO6</f>
        <v>#REF!</v>
      </c>
      <c r="BP6" s="205" t="e">
        <f>SUM(BD6:BO6)</f>
        <v>#REF!</v>
      </c>
      <c r="BQ6" s="243" t="e">
        <f>SUM(AP6+AC6+P6+BC6+BP6)</f>
        <v>#REF!</v>
      </c>
    </row>
    <row r="7" spans="1:69" ht="12.75" customHeight="1">
      <c r="A7" s="1"/>
      <c r="B7" s="162" t="s">
        <v>512</v>
      </c>
      <c r="C7" s="162"/>
      <c r="D7" s="283">
        <v>0</v>
      </c>
      <c r="E7" s="283">
        <v>0</v>
      </c>
      <c r="F7" s="283">
        <v>0</v>
      </c>
      <c r="G7" s="283">
        <f>Assumptions!$I$42</f>
        <v>0</v>
      </c>
      <c r="H7" s="283">
        <f>Assumptions!$I$42</f>
        <v>0</v>
      </c>
      <c r="I7" s="283">
        <f>Assumptions!$I$42</f>
        <v>0</v>
      </c>
      <c r="J7" s="283">
        <f>Assumptions!$I$42</f>
        <v>0</v>
      </c>
      <c r="K7" s="283">
        <f>Assumptions!$I$42</f>
        <v>0</v>
      </c>
      <c r="L7" s="283">
        <f>Assumptions!$I$42</f>
        <v>0</v>
      </c>
      <c r="M7" s="283">
        <f>Assumptions!$I$42</f>
        <v>0</v>
      </c>
      <c r="N7" s="283">
        <f>Assumptions!$I$42</f>
        <v>0</v>
      </c>
      <c r="O7" s="283">
        <f>Assumptions!$I$42</f>
        <v>0</v>
      </c>
      <c r="P7" s="284">
        <f>Assumptions!$I$42</f>
        <v>0</v>
      </c>
      <c r="Q7" s="283">
        <f>Assumptions!$I$42</f>
        <v>0</v>
      </c>
      <c r="R7" s="283">
        <f>Assumptions!$I$42</f>
        <v>0</v>
      </c>
      <c r="S7" s="283">
        <f>Assumptions!$I$42</f>
        <v>0</v>
      </c>
      <c r="T7" s="283">
        <f>Assumptions!$I$42</f>
        <v>0</v>
      </c>
      <c r="U7" s="283">
        <f>Assumptions!$I$42</f>
        <v>0</v>
      </c>
      <c r="V7" s="283">
        <f>Assumptions!$I$42</f>
        <v>0</v>
      </c>
      <c r="W7" s="283">
        <f>Assumptions!$I$42</f>
        <v>0</v>
      </c>
      <c r="X7" s="283">
        <f>Assumptions!$I$42</f>
        <v>0</v>
      </c>
      <c r="Y7" s="283">
        <f>Assumptions!$I$42</f>
        <v>0</v>
      </c>
      <c r="Z7" s="283">
        <f>Assumptions!$I$42</f>
        <v>0</v>
      </c>
      <c r="AA7" s="283">
        <f>Assumptions!$I$42</f>
        <v>0</v>
      </c>
      <c r="AB7" s="283">
        <f>Assumptions!$I$42</f>
        <v>0</v>
      </c>
      <c r="AC7" s="284">
        <f>Assumptions!$I$42</f>
        <v>0</v>
      </c>
      <c r="AD7" s="283">
        <f>Assumptions!$I$42</f>
        <v>0</v>
      </c>
      <c r="AE7" s="283">
        <f>Assumptions!$I$42</f>
        <v>0</v>
      </c>
      <c r="AF7" s="283">
        <f>Assumptions!$I$42</f>
        <v>0</v>
      </c>
      <c r="AG7" s="283">
        <f>Assumptions!$I$42</f>
        <v>0</v>
      </c>
      <c r="AH7" s="283">
        <f>Assumptions!$I$42</f>
        <v>0</v>
      </c>
      <c r="AI7" s="283">
        <f>Assumptions!$I$42</f>
        <v>0</v>
      </c>
      <c r="AJ7" s="283">
        <f>Assumptions!$I$42</f>
        <v>0</v>
      </c>
      <c r="AK7" s="283">
        <f>Assumptions!$I$42</f>
        <v>0</v>
      </c>
      <c r="AL7" s="283">
        <f>Assumptions!$I$42</f>
        <v>0</v>
      </c>
      <c r="AM7" s="283">
        <f>Assumptions!$I$42</f>
        <v>0</v>
      </c>
      <c r="AN7" s="283">
        <f>Assumptions!$I$42</f>
        <v>0</v>
      </c>
      <c r="AO7" s="283">
        <f>Assumptions!$I$42</f>
        <v>0</v>
      </c>
      <c r="AP7" s="284">
        <f>Assumptions!$I$42</f>
        <v>0</v>
      </c>
      <c r="AQ7" s="283">
        <f>Assumptions!$I$42</f>
        <v>0</v>
      </c>
      <c r="AR7" s="283">
        <f>Assumptions!$I$42</f>
        <v>0</v>
      </c>
      <c r="AS7" s="283">
        <f>Assumptions!$I$42</f>
        <v>0</v>
      </c>
      <c r="AT7" s="283">
        <f>Assumptions!$I$42</f>
        <v>0</v>
      </c>
      <c r="AU7" s="283">
        <f>Assumptions!$I$42</f>
        <v>0</v>
      </c>
      <c r="AV7" s="283">
        <f>Assumptions!$I$42</f>
        <v>0</v>
      </c>
      <c r="AW7" s="283">
        <f>Assumptions!$I$42</f>
        <v>0</v>
      </c>
      <c r="AX7" s="283">
        <f>Assumptions!$I$42</f>
        <v>0</v>
      </c>
      <c r="AY7" s="283">
        <f>Assumptions!$I$42</f>
        <v>0</v>
      </c>
      <c r="AZ7" s="283">
        <f>Assumptions!$I$42</f>
        <v>0</v>
      </c>
      <c r="BA7" s="283">
        <f>Assumptions!$I$42</f>
        <v>0</v>
      </c>
      <c r="BB7" s="283">
        <f>Assumptions!$I$42</f>
        <v>0</v>
      </c>
      <c r="BC7" s="284">
        <f>Assumptions!$I$42</f>
        <v>0</v>
      </c>
      <c r="BD7" s="283">
        <f>Assumptions!$I$42</f>
        <v>0</v>
      </c>
      <c r="BE7" s="283">
        <f>Assumptions!$I$42</f>
        <v>0</v>
      </c>
      <c r="BF7" s="283">
        <f>Assumptions!$I$42</f>
        <v>0</v>
      </c>
      <c r="BG7" s="283">
        <f>Assumptions!$I$42</f>
        <v>0</v>
      </c>
      <c r="BH7" s="283">
        <f>Assumptions!$I$42</f>
        <v>0</v>
      </c>
      <c r="BI7" s="283">
        <f>Assumptions!$I$42</f>
        <v>0</v>
      </c>
      <c r="BJ7" s="283">
        <f>Assumptions!$I$42</f>
        <v>0</v>
      </c>
      <c r="BK7" s="283">
        <f>Assumptions!$I$42</f>
        <v>0</v>
      </c>
      <c r="BL7" s="283">
        <f>Assumptions!$I$42</f>
        <v>0</v>
      </c>
      <c r="BM7" s="283">
        <f>Assumptions!$I$42</f>
        <v>0</v>
      </c>
      <c r="BN7" s="283">
        <f>Assumptions!$I$42</f>
        <v>0</v>
      </c>
      <c r="BO7" s="283">
        <f>Assumptions!$I$42</f>
        <v>0</v>
      </c>
      <c r="BP7" s="284">
        <f>Assumptions!$I$42</f>
        <v>0</v>
      </c>
      <c r="BQ7" s="284">
        <f>Assumptions!$I$42</f>
        <v>0</v>
      </c>
    </row>
    <row r="8" spans="1:69" ht="12.75" customHeight="1">
      <c r="A8" s="191"/>
      <c r="B8" s="192" t="s">
        <v>70</v>
      </c>
      <c r="C8" s="193"/>
      <c r="D8" s="194">
        <f t="shared" ref="D8:O8" si="0">D6*D7</f>
        <v>0</v>
      </c>
      <c r="E8" s="194">
        <f t="shared" si="0"/>
        <v>0</v>
      </c>
      <c r="F8" s="194">
        <f t="shared" si="0"/>
        <v>0</v>
      </c>
      <c r="G8" s="194" t="e">
        <f t="shared" si="0"/>
        <v>#REF!</v>
      </c>
      <c r="H8" s="194" t="e">
        <f t="shared" si="0"/>
        <v>#REF!</v>
      </c>
      <c r="I8" s="194" t="e">
        <f t="shared" si="0"/>
        <v>#REF!</v>
      </c>
      <c r="J8" s="194" t="e">
        <f t="shared" si="0"/>
        <v>#REF!</v>
      </c>
      <c r="K8" s="194" t="e">
        <f t="shared" si="0"/>
        <v>#REF!</v>
      </c>
      <c r="L8" s="194" t="e">
        <f t="shared" si="0"/>
        <v>#REF!</v>
      </c>
      <c r="M8" s="194" t="e">
        <f t="shared" si="0"/>
        <v>#REF!</v>
      </c>
      <c r="N8" s="194" t="e">
        <f t="shared" si="0"/>
        <v>#REF!</v>
      </c>
      <c r="O8" s="194" t="e">
        <f t="shared" si="0"/>
        <v>#REF!</v>
      </c>
      <c r="P8" s="195" t="e">
        <f>SUM(D8:O8)</f>
        <v>#REF!</v>
      </c>
      <c r="Q8" s="194" t="e">
        <f t="shared" ref="Q8:AB8" si="1">Q6*Q7</f>
        <v>#REF!</v>
      </c>
      <c r="R8" s="194" t="e">
        <f t="shared" si="1"/>
        <v>#REF!</v>
      </c>
      <c r="S8" s="194" t="e">
        <f t="shared" si="1"/>
        <v>#REF!</v>
      </c>
      <c r="T8" s="194" t="e">
        <f t="shared" si="1"/>
        <v>#REF!</v>
      </c>
      <c r="U8" s="194" t="e">
        <f t="shared" si="1"/>
        <v>#REF!</v>
      </c>
      <c r="V8" s="194" t="e">
        <f t="shared" si="1"/>
        <v>#REF!</v>
      </c>
      <c r="W8" s="194" t="e">
        <f t="shared" si="1"/>
        <v>#REF!</v>
      </c>
      <c r="X8" s="194" t="e">
        <f t="shared" si="1"/>
        <v>#REF!</v>
      </c>
      <c r="Y8" s="194" t="e">
        <f t="shared" si="1"/>
        <v>#REF!</v>
      </c>
      <c r="Z8" s="194" t="e">
        <f t="shared" si="1"/>
        <v>#REF!</v>
      </c>
      <c r="AA8" s="194" t="e">
        <f t="shared" si="1"/>
        <v>#REF!</v>
      </c>
      <c r="AB8" s="194" t="e">
        <f t="shared" si="1"/>
        <v>#REF!</v>
      </c>
      <c r="AC8" s="195" t="e">
        <f>SUM(Q8:AB8)</f>
        <v>#REF!</v>
      </c>
      <c r="AD8" s="194" t="e">
        <f t="shared" ref="AD8:AO8" si="2">AD6*AD7</f>
        <v>#REF!</v>
      </c>
      <c r="AE8" s="194" t="e">
        <f t="shared" si="2"/>
        <v>#REF!</v>
      </c>
      <c r="AF8" s="194" t="e">
        <f t="shared" si="2"/>
        <v>#REF!</v>
      </c>
      <c r="AG8" s="194" t="e">
        <f t="shared" si="2"/>
        <v>#REF!</v>
      </c>
      <c r="AH8" s="194" t="e">
        <f t="shared" si="2"/>
        <v>#REF!</v>
      </c>
      <c r="AI8" s="194" t="e">
        <f t="shared" si="2"/>
        <v>#REF!</v>
      </c>
      <c r="AJ8" s="194" t="e">
        <f t="shared" si="2"/>
        <v>#REF!</v>
      </c>
      <c r="AK8" s="194" t="e">
        <f t="shared" si="2"/>
        <v>#REF!</v>
      </c>
      <c r="AL8" s="194" t="e">
        <f t="shared" si="2"/>
        <v>#REF!</v>
      </c>
      <c r="AM8" s="194" t="e">
        <f t="shared" si="2"/>
        <v>#REF!</v>
      </c>
      <c r="AN8" s="194" t="e">
        <f t="shared" si="2"/>
        <v>#REF!</v>
      </c>
      <c r="AO8" s="194" t="e">
        <f t="shared" si="2"/>
        <v>#REF!</v>
      </c>
      <c r="AP8" s="195" t="e">
        <f>SUM(AD8:AO8)</f>
        <v>#REF!</v>
      </c>
      <c r="AQ8" s="194" t="e">
        <f t="shared" ref="AQ8:BB8" si="3">AQ6*AQ7</f>
        <v>#REF!</v>
      </c>
      <c r="AR8" s="194" t="e">
        <f t="shared" si="3"/>
        <v>#REF!</v>
      </c>
      <c r="AS8" s="194" t="e">
        <f t="shared" si="3"/>
        <v>#REF!</v>
      </c>
      <c r="AT8" s="194" t="e">
        <f t="shared" si="3"/>
        <v>#REF!</v>
      </c>
      <c r="AU8" s="194" t="e">
        <f t="shared" si="3"/>
        <v>#REF!</v>
      </c>
      <c r="AV8" s="194" t="e">
        <f t="shared" si="3"/>
        <v>#REF!</v>
      </c>
      <c r="AW8" s="194" t="e">
        <f t="shared" si="3"/>
        <v>#REF!</v>
      </c>
      <c r="AX8" s="194" t="e">
        <f t="shared" si="3"/>
        <v>#REF!</v>
      </c>
      <c r="AY8" s="194" t="e">
        <f t="shared" si="3"/>
        <v>#REF!</v>
      </c>
      <c r="AZ8" s="194" t="e">
        <f t="shared" si="3"/>
        <v>#REF!</v>
      </c>
      <c r="BA8" s="194" t="e">
        <f t="shared" si="3"/>
        <v>#REF!</v>
      </c>
      <c r="BB8" s="194" t="e">
        <f t="shared" si="3"/>
        <v>#REF!</v>
      </c>
      <c r="BC8" s="195" t="e">
        <f>SUM(AQ8:BB8)</f>
        <v>#REF!</v>
      </c>
      <c r="BD8" s="194" t="e">
        <f t="shared" ref="BD8:BO8" si="4">BD6*BD7</f>
        <v>#REF!</v>
      </c>
      <c r="BE8" s="194" t="e">
        <f t="shared" si="4"/>
        <v>#REF!</v>
      </c>
      <c r="BF8" s="194" t="e">
        <f t="shared" si="4"/>
        <v>#REF!</v>
      </c>
      <c r="BG8" s="194" t="e">
        <f t="shared" si="4"/>
        <v>#REF!</v>
      </c>
      <c r="BH8" s="194" t="e">
        <f t="shared" si="4"/>
        <v>#REF!</v>
      </c>
      <c r="BI8" s="194" t="e">
        <f t="shared" si="4"/>
        <v>#REF!</v>
      </c>
      <c r="BJ8" s="194" t="e">
        <f t="shared" si="4"/>
        <v>#REF!</v>
      </c>
      <c r="BK8" s="194" t="e">
        <f t="shared" si="4"/>
        <v>#REF!</v>
      </c>
      <c r="BL8" s="194" t="e">
        <f t="shared" si="4"/>
        <v>#REF!</v>
      </c>
      <c r="BM8" s="194" t="e">
        <f t="shared" si="4"/>
        <v>#REF!</v>
      </c>
      <c r="BN8" s="194" t="e">
        <f t="shared" si="4"/>
        <v>#REF!</v>
      </c>
      <c r="BO8" s="194" t="e">
        <f t="shared" si="4"/>
        <v>#REF!</v>
      </c>
      <c r="BP8" s="195" t="e">
        <f>SUM(BD8:BO8)</f>
        <v>#REF!</v>
      </c>
      <c r="BQ8" s="238" t="e">
        <f>BQ6*BQ7</f>
        <v>#REF!</v>
      </c>
    </row>
    <row r="9" spans="1:69" ht="12.75" customHeight="1">
      <c r="A9" s="1"/>
      <c r="B9" s="1"/>
      <c r="C9" s="1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7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239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239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239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239"/>
      <c r="BQ9" s="240"/>
    </row>
    <row r="10" spans="1:69" ht="12.75" customHeight="1">
      <c r="A10" s="187"/>
      <c r="B10" s="187" t="s">
        <v>86</v>
      </c>
      <c r="C10" s="187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98"/>
      <c r="BK10" s="198"/>
      <c r="BL10" s="198"/>
      <c r="BM10" s="198"/>
      <c r="BN10" s="198"/>
      <c r="BO10" s="198"/>
      <c r="BP10" s="198"/>
      <c r="BQ10" s="198"/>
    </row>
    <row r="11" spans="1:69" ht="12.75" customHeight="1">
      <c r="A11" s="199" t="s">
        <v>418</v>
      </c>
      <c r="B11" s="199"/>
      <c r="C11" s="199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1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41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41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41"/>
      <c r="BD11" s="200"/>
      <c r="BE11" s="200"/>
      <c r="BF11" s="200"/>
      <c r="BG11" s="200"/>
      <c r="BH11" s="200"/>
      <c r="BI11" s="200"/>
      <c r="BJ11" s="200"/>
      <c r="BK11" s="200"/>
      <c r="BL11" s="200"/>
      <c r="BM11" s="200"/>
      <c r="BN11" s="200"/>
      <c r="BO11" s="200"/>
      <c r="BP11" s="241"/>
      <c r="BQ11" s="242"/>
    </row>
    <row r="12" spans="1:69" ht="12.75" customHeight="1">
      <c r="A12" s="202"/>
      <c r="B12" s="203" t="s">
        <v>418</v>
      </c>
      <c r="C12" s="203"/>
      <c r="D12" s="203">
        <f>D8*(1-Assumptions!$I$43)</f>
        <v>0</v>
      </c>
      <c r="E12" s="203">
        <f>E8*(1-Assumptions!$I$43)</f>
        <v>0</v>
      </c>
      <c r="F12" s="203">
        <f>F8*(1-Assumptions!$I$43)</f>
        <v>0</v>
      </c>
      <c r="G12" s="203" t="e">
        <f>G8*(1-Assumptions!$I$43)</f>
        <v>#REF!</v>
      </c>
      <c r="H12" s="203" t="e">
        <f>H8*(1-Assumptions!$I$43)</f>
        <v>#REF!</v>
      </c>
      <c r="I12" s="203" t="e">
        <f>I8*(1-Assumptions!$I$43)</f>
        <v>#REF!</v>
      </c>
      <c r="J12" s="203" t="e">
        <f>J8*(1-Assumptions!$I$43)</f>
        <v>#REF!</v>
      </c>
      <c r="K12" s="203" t="e">
        <f>K8*(1-Assumptions!$I$43)</f>
        <v>#REF!</v>
      </c>
      <c r="L12" s="203" t="e">
        <f>L8*(1-Assumptions!$I$43)</f>
        <v>#REF!</v>
      </c>
      <c r="M12" s="203" t="e">
        <f>M8*(1-Assumptions!$I$43)</f>
        <v>#REF!</v>
      </c>
      <c r="N12" s="203" t="e">
        <f>N8*(1-Assumptions!$I$43)</f>
        <v>#REF!</v>
      </c>
      <c r="O12" s="203" t="e">
        <f>O8*(1-Assumptions!$I$43)</f>
        <v>#REF!</v>
      </c>
      <c r="P12" s="205" t="e">
        <f>P8*(1-Assumptions!$I$43)</f>
        <v>#REF!</v>
      </c>
      <c r="Q12" s="203" t="e">
        <f>Q8*(1-Assumptions!$I$43)</f>
        <v>#REF!</v>
      </c>
      <c r="R12" s="203" t="e">
        <f>R8*(1-Assumptions!$I$43)</f>
        <v>#REF!</v>
      </c>
      <c r="S12" s="203" t="e">
        <f>S8*(1-Assumptions!$I$43)</f>
        <v>#REF!</v>
      </c>
      <c r="T12" s="203" t="e">
        <f>T8*(1-Assumptions!$I$43)</f>
        <v>#REF!</v>
      </c>
      <c r="U12" s="203" t="e">
        <f>U8*(1-Assumptions!$I$43)</f>
        <v>#REF!</v>
      </c>
      <c r="V12" s="203" t="e">
        <f>V8*(1-Assumptions!$I$43)</f>
        <v>#REF!</v>
      </c>
      <c r="W12" s="203" t="e">
        <f>W8*(1-Assumptions!$I$43)</f>
        <v>#REF!</v>
      </c>
      <c r="X12" s="203" t="e">
        <f>X8*(1-Assumptions!$I$43)</f>
        <v>#REF!</v>
      </c>
      <c r="Y12" s="203" t="e">
        <f>Y8*(1-Assumptions!$I$43)</f>
        <v>#REF!</v>
      </c>
      <c r="Z12" s="203" t="e">
        <f>Z8*(1-Assumptions!$I$43)</f>
        <v>#REF!</v>
      </c>
      <c r="AA12" s="203" t="e">
        <f>AA8*(1-Assumptions!$I$43)</f>
        <v>#REF!</v>
      </c>
      <c r="AB12" s="203" t="e">
        <f>AB8*(1-Assumptions!$I$43)</f>
        <v>#REF!</v>
      </c>
      <c r="AC12" s="205" t="e">
        <f>AC8*(1-Assumptions!$I$43)</f>
        <v>#REF!</v>
      </c>
      <c r="AD12" s="203" t="e">
        <f>AD8*(1-Assumptions!$I$43)</f>
        <v>#REF!</v>
      </c>
      <c r="AE12" s="203" t="e">
        <f>AE8*(1-Assumptions!$I$43)</f>
        <v>#REF!</v>
      </c>
      <c r="AF12" s="203" t="e">
        <f>AF8*(1-Assumptions!$I$43)</f>
        <v>#REF!</v>
      </c>
      <c r="AG12" s="203" t="e">
        <f>AG8*(1-Assumptions!$I$43)</f>
        <v>#REF!</v>
      </c>
      <c r="AH12" s="203" t="e">
        <f>AH8*(1-Assumptions!$I$43)</f>
        <v>#REF!</v>
      </c>
      <c r="AI12" s="203" t="e">
        <f>AI8*(1-Assumptions!$I$43)</f>
        <v>#REF!</v>
      </c>
      <c r="AJ12" s="203" t="e">
        <f>AJ8*(1-Assumptions!$I$43)</f>
        <v>#REF!</v>
      </c>
      <c r="AK12" s="203" t="e">
        <f>AK8*(1-Assumptions!$I$43)</f>
        <v>#REF!</v>
      </c>
      <c r="AL12" s="203" t="e">
        <f>AL8*(1-Assumptions!$I$43)</f>
        <v>#REF!</v>
      </c>
      <c r="AM12" s="203" t="e">
        <f>AM8*(1-Assumptions!$I$43)</f>
        <v>#REF!</v>
      </c>
      <c r="AN12" s="203" t="e">
        <f>AN8*(1-Assumptions!$I$43)</f>
        <v>#REF!</v>
      </c>
      <c r="AO12" s="203" t="e">
        <f>AO8*(1-Assumptions!$I$43)</f>
        <v>#REF!</v>
      </c>
      <c r="AP12" s="205" t="e">
        <f>AP8*(1-Assumptions!$I$43)</f>
        <v>#REF!</v>
      </c>
      <c r="AQ12" s="203" t="e">
        <f>AQ8*(1-Assumptions!$I$43)</f>
        <v>#REF!</v>
      </c>
      <c r="AR12" s="203" t="e">
        <f>AR8*(1-Assumptions!$I$43)</f>
        <v>#REF!</v>
      </c>
      <c r="AS12" s="203" t="e">
        <f>AS8*(1-Assumptions!$I$43)</f>
        <v>#REF!</v>
      </c>
      <c r="AT12" s="203" t="e">
        <f>AT8*(1-Assumptions!$I$43)</f>
        <v>#REF!</v>
      </c>
      <c r="AU12" s="203" t="e">
        <f>AU8*(1-Assumptions!$I$43)</f>
        <v>#REF!</v>
      </c>
      <c r="AV12" s="203" t="e">
        <f>AV8*(1-Assumptions!$I$43)</f>
        <v>#REF!</v>
      </c>
      <c r="AW12" s="203" t="e">
        <f>AW8*(1-Assumptions!$I$43)</f>
        <v>#REF!</v>
      </c>
      <c r="AX12" s="203" t="e">
        <f>AX8*(1-Assumptions!$I$43)</f>
        <v>#REF!</v>
      </c>
      <c r="AY12" s="203" t="e">
        <f>AY8*(1-Assumptions!$I$43)</f>
        <v>#REF!</v>
      </c>
      <c r="AZ12" s="203" t="e">
        <f>AZ8*(1-Assumptions!$I$43)</f>
        <v>#REF!</v>
      </c>
      <c r="BA12" s="203" t="e">
        <f>BA8*(1-Assumptions!$I$43)</f>
        <v>#REF!</v>
      </c>
      <c r="BB12" s="203" t="e">
        <f>BB8*(1-Assumptions!$I$43)</f>
        <v>#REF!</v>
      </c>
      <c r="BC12" s="205" t="e">
        <f>BC8*(1-Assumptions!$I$43)</f>
        <v>#REF!</v>
      </c>
      <c r="BD12" s="203" t="e">
        <f>BD8*(1-Assumptions!$I$43)</f>
        <v>#REF!</v>
      </c>
      <c r="BE12" s="203" t="e">
        <f>BE8*(1-Assumptions!$I$43)</f>
        <v>#REF!</v>
      </c>
      <c r="BF12" s="203" t="e">
        <f>BF8*(1-Assumptions!$I$43)</f>
        <v>#REF!</v>
      </c>
      <c r="BG12" s="203" t="e">
        <f>BG8*(1-Assumptions!$I$43)</f>
        <v>#REF!</v>
      </c>
      <c r="BH12" s="203" t="e">
        <f>BH8*(1-Assumptions!$I$43)</f>
        <v>#REF!</v>
      </c>
      <c r="BI12" s="203" t="e">
        <f>BI8*(1-Assumptions!$I$43)</f>
        <v>#REF!</v>
      </c>
      <c r="BJ12" s="203" t="e">
        <f>BJ8*(1-Assumptions!$I$43)</f>
        <v>#REF!</v>
      </c>
      <c r="BK12" s="203" t="e">
        <f>BK8*(1-Assumptions!$I$43)</f>
        <v>#REF!</v>
      </c>
      <c r="BL12" s="203" t="e">
        <f>BL8*(1-Assumptions!$I$43)</f>
        <v>#REF!</v>
      </c>
      <c r="BM12" s="203" t="e">
        <f>BM8*(1-Assumptions!$I$43)</f>
        <v>#REF!</v>
      </c>
      <c r="BN12" s="203" t="e">
        <f>BN8*(1-Assumptions!$I$43)</f>
        <v>#REF!</v>
      </c>
      <c r="BO12" s="203" t="e">
        <f>BO8*(1-Assumptions!$I$43)</f>
        <v>#REF!</v>
      </c>
      <c r="BP12" s="205" t="e">
        <f>BP8*(1-Assumptions!$I$43)</f>
        <v>#REF!</v>
      </c>
      <c r="BQ12" s="243" t="e">
        <f>BQ8*(1-Assumptions!$I$43)</f>
        <v>#REF!</v>
      </c>
    </row>
    <row r="13" spans="1:69" ht="12.75" customHeight="1">
      <c r="A13" s="206"/>
      <c r="B13" s="207"/>
      <c r="C13" s="162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5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5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5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5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5"/>
      <c r="BQ13" s="243"/>
    </row>
    <row r="14" spans="1:69" ht="12.75" customHeight="1">
      <c r="A14" s="208"/>
      <c r="B14" s="209" t="s">
        <v>420</v>
      </c>
      <c r="C14" s="192"/>
      <c r="D14" s="210">
        <f t="shared" ref="D14:BQ14" si="5">SUM(D12:D13)</f>
        <v>0</v>
      </c>
      <c r="E14" s="210">
        <f t="shared" si="5"/>
        <v>0</v>
      </c>
      <c r="F14" s="210">
        <f t="shared" si="5"/>
        <v>0</v>
      </c>
      <c r="G14" s="210" t="e">
        <f t="shared" si="5"/>
        <v>#REF!</v>
      </c>
      <c r="H14" s="210" t="e">
        <f t="shared" si="5"/>
        <v>#REF!</v>
      </c>
      <c r="I14" s="210" t="e">
        <f t="shared" si="5"/>
        <v>#REF!</v>
      </c>
      <c r="J14" s="210" t="e">
        <f t="shared" si="5"/>
        <v>#REF!</v>
      </c>
      <c r="K14" s="210" t="e">
        <f t="shared" si="5"/>
        <v>#REF!</v>
      </c>
      <c r="L14" s="210" t="e">
        <f t="shared" si="5"/>
        <v>#REF!</v>
      </c>
      <c r="M14" s="210" t="e">
        <f t="shared" si="5"/>
        <v>#REF!</v>
      </c>
      <c r="N14" s="210" t="e">
        <f t="shared" si="5"/>
        <v>#REF!</v>
      </c>
      <c r="O14" s="210" t="e">
        <f t="shared" si="5"/>
        <v>#REF!</v>
      </c>
      <c r="P14" s="211" t="e">
        <f t="shared" si="5"/>
        <v>#REF!</v>
      </c>
      <c r="Q14" s="210" t="e">
        <f t="shared" si="5"/>
        <v>#REF!</v>
      </c>
      <c r="R14" s="210" t="e">
        <f t="shared" si="5"/>
        <v>#REF!</v>
      </c>
      <c r="S14" s="210" t="e">
        <f t="shared" si="5"/>
        <v>#REF!</v>
      </c>
      <c r="T14" s="210" t="e">
        <f t="shared" si="5"/>
        <v>#REF!</v>
      </c>
      <c r="U14" s="210" t="e">
        <f t="shared" si="5"/>
        <v>#REF!</v>
      </c>
      <c r="V14" s="210" t="e">
        <f t="shared" si="5"/>
        <v>#REF!</v>
      </c>
      <c r="W14" s="210" t="e">
        <f t="shared" si="5"/>
        <v>#REF!</v>
      </c>
      <c r="X14" s="210" t="e">
        <f t="shared" si="5"/>
        <v>#REF!</v>
      </c>
      <c r="Y14" s="210" t="e">
        <f t="shared" si="5"/>
        <v>#REF!</v>
      </c>
      <c r="Z14" s="210" t="e">
        <f t="shared" si="5"/>
        <v>#REF!</v>
      </c>
      <c r="AA14" s="210" t="e">
        <f t="shared" si="5"/>
        <v>#REF!</v>
      </c>
      <c r="AB14" s="210" t="e">
        <f t="shared" si="5"/>
        <v>#REF!</v>
      </c>
      <c r="AC14" s="211" t="e">
        <f t="shared" si="5"/>
        <v>#REF!</v>
      </c>
      <c r="AD14" s="210" t="e">
        <f t="shared" si="5"/>
        <v>#REF!</v>
      </c>
      <c r="AE14" s="210" t="e">
        <f t="shared" si="5"/>
        <v>#REF!</v>
      </c>
      <c r="AF14" s="210" t="e">
        <f t="shared" si="5"/>
        <v>#REF!</v>
      </c>
      <c r="AG14" s="210" t="e">
        <f t="shared" si="5"/>
        <v>#REF!</v>
      </c>
      <c r="AH14" s="210" t="e">
        <f t="shared" si="5"/>
        <v>#REF!</v>
      </c>
      <c r="AI14" s="210" t="e">
        <f t="shared" si="5"/>
        <v>#REF!</v>
      </c>
      <c r="AJ14" s="210" t="e">
        <f t="shared" si="5"/>
        <v>#REF!</v>
      </c>
      <c r="AK14" s="210" t="e">
        <f t="shared" si="5"/>
        <v>#REF!</v>
      </c>
      <c r="AL14" s="210" t="e">
        <f t="shared" si="5"/>
        <v>#REF!</v>
      </c>
      <c r="AM14" s="210" t="e">
        <f t="shared" si="5"/>
        <v>#REF!</v>
      </c>
      <c r="AN14" s="210" t="e">
        <f t="shared" si="5"/>
        <v>#REF!</v>
      </c>
      <c r="AO14" s="210" t="e">
        <f t="shared" si="5"/>
        <v>#REF!</v>
      </c>
      <c r="AP14" s="211" t="e">
        <f t="shared" si="5"/>
        <v>#REF!</v>
      </c>
      <c r="AQ14" s="210" t="e">
        <f t="shared" si="5"/>
        <v>#REF!</v>
      </c>
      <c r="AR14" s="210" t="e">
        <f t="shared" si="5"/>
        <v>#REF!</v>
      </c>
      <c r="AS14" s="210" t="e">
        <f t="shared" si="5"/>
        <v>#REF!</v>
      </c>
      <c r="AT14" s="210" t="e">
        <f t="shared" si="5"/>
        <v>#REF!</v>
      </c>
      <c r="AU14" s="210" t="e">
        <f t="shared" si="5"/>
        <v>#REF!</v>
      </c>
      <c r="AV14" s="210" t="e">
        <f t="shared" si="5"/>
        <v>#REF!</v>
      </c>
      <c r="AW14" s="210" t="e">
        <f t="shared" si="5"/>
        <v>#REF!</v>
      </c>
      <c r="AX14" s="210" t="e">
        <f t="shared" si="5"/>
        <v>#REF!</v>
      </c>
      <c r="AY14" s="210" t="e">
        <f t="shared" si="5"/>
        <v>#REF!</v>
      </c>
      <c r="AZ14" s="210" t="e">
        <f t="shared" si="5"/>
        <v>#REF!</v>
      </c>
      <c r="BA14" s="210" t="e">
        <f t="shared" si="5"/>
        <v>#REF!</v>
      </c>
      <c r="BB14" s="210" t="e">
        <f t="shared" si="5"/>
        <v>#REF!</v>
      </c>
      <c r="BC14" s="211" t="e">
        <f t="shared" si="5"/>
        <v>#REF!</v>
      </c>
      <c r="BD14" s="210" t="e">
        <f t="shared" si="5"/>
        <v>#REF!</v>
      </c>
      <c r="BE14" s="210" t="e">
        <f t="shared" si="5"/>
        <v>#REF!</v>
      </c>
      <c r="BF14" s="210" t="e">
        <f t="shared" si="5"/>
        <v>#REF!</v>
      </c>
      <c r="BG14" s="210" t="e">
        <f t="shared" si="5"/>
        <v>#REF!</v>
      </c>
      <c r="BH14" s="210" t="e">
        <f t="shared" si="5"/>
        <v>#REF!</v>
      </c>
      <c r="BI14" s="210" t="e">
        <f t="shared" si="5"/>
        <v>#REF!</v>
      </c>
      <c r="BJ14" s="210" t="e">
        <f t="shared" si="5"/>
        <v>#REF!</v>
      </c>
      <c r="BK14" s="210" t="e">
        <f t="shared" si="5"/>
        <v>#REF!</v>
      </c>
      <c r="BL14" s="210" t="e">
        <f t="shared" si="5"/>
        <v>#REF!</v>
      </c>
      <c r="BM14" s="210" t="e">
        <f t="shared" si="5"/>
        <v>#REF!</v>
      </c>
      <c r="BN14" s="210" t="e">
        <f t="shared" si="5"/>
        <v>#REF!</v>
      </c>
      <c r="BO14" s="210" t="e">
        <f t="shared" si="5"/>
        <v>#REF!</v>
      </c>
      <c r="BP14" s="211" t="e">
        <f t="shared" si="5"/>
        <v>#REF!</v>
      </c>
      <c r="BQ14" s="211" t="e">
        <f t="shared" si="5"/>
        <v>#REF!</v>
      </c>
    </row>
    <row r="15" spans="1:69" ht="12.75" customHeight="1">
      <c r="A15" s="212" t="s">
        <v>421</v>
      </c>
      <c r="B15" s="192"/>
      <c r="C15" s="192"/>
      <c r="D15" s="213">
        <f t="shared" ref="D15:BQ15" si="6">D8-D14</f>
        <v>0</v>
      </c>
      <c r="E15" s="213">
        <f t="shared" si="6"/>
        <v>0</v>
      </c>
      <c r="F15" s="213">
        <f t="shared" si="6"/>
        <v>0</v>
      </c>
      <c r="G15" s="213" t="e">
        <f t="shared" si="6"/>
        <v>#REF!</v>
      </c>
      <c r="H15" s="213" t="e">
        <f t="shared" si="6"/>
        <v>#REF!</v>
      </c>
      <c r="I15" s="213" t="e">
        <f t="shared" si="6"/>
        <v>#REF!</v>
      </c>
      <c r="J15" s="213" t="e">
        <f t="shared" si="6"/>
        <v>#REF!</v>
      </c>
      <c r="K15" s="213" t="e">
        <f t="shared" si="6"/>
        <v>#REF!</v>
      </c>
      <c r="L15" s="213" t="e">
        <f t="shared" si="6"/>
        <v>#REF!</v>
      </c>
      <c r="M15" s="213" t="e">
        <f t="shared" si="6"/>
        <v>#REF!</v>
      </c>
      <c r="N15" s="213" t="e">
        <f t="shared" si="6"/>
        <v>#REF!</v>
      </c>
      <c r="O15" s="213" t="e">
        <f t="shared" si="6"/>
        <v>#REF!</v>
      </c>
      <c r="P15" s="211" t="e">
        <f t="shared" si="6"/>
        <v>#REF!</v>
      </c>
      <c r="Q15" s="213" t="e">
        <f t="shared" si="6"/>
        <v>#REF!</v>
      </c>
      <c r="R15" s="213" t="e">
        <f t="shared" si="6"/>
        <v>#REF!</v>
      </c>
      <c r="S15" s="213" t="e">
        <f t="shared" si="6"/>
        <v>#REF!</v>
      </c>
      <c r="T15" s="213" t="e">
        <f t="shared" si="6"/>
        <v>#REF!</v>
      </c>
      <c r="U15" s="213" t="e">
        <f t="shared" si="6"/>
        <v>#REF!</v>
      </c>
      <c r="V15" s="213" t="e">
        <f t="shared" si="6"/>
        <v>#REF!</v>
      </c>
      <c r="W15" s="213" t="e">
        <f t="shared" si="6"/>
        <v>#REF!</v>
      </c>
      <c r="X15" s="213" t="e">
        <f t="shared" si="6"/>
        <v>#REF!</v>
      </c>
      <c r="Y15" s="213" t="e">
        <f t="shared" si="6"/>
        <v>#REF!</v>
      </c>
      <c r="Z15" s="213" t="e">
        <f t="shared" si="6"/>
        <v>#REF!</v>
      </c>
      <c r="AA15" s="213" t="e">
        <f t="shared" si="6"/>
        <v>#REF!</v>
      </c>
      <c r="AB15" s="213" t="e">
        <f t="shared" si="6"/>
        <v>#REF!</v>
      </c>
      <c r="AC15" s="211" t="e">
        <f t="shared" si="6"/>
        <v>#REF!</v>
      </c>
      <c r="AD15" s="213" t="e">
        <f t="shared" si="6"/>
        <v>#REF!</v>
      </c>
      <c r="AE15" s="213" t="e">
        <f t="shared" si="6"/>
        <v>#REF!</v>
      </c>
      <c r="AF15" s="213" t="e">
        <f t="shared" si="6"/>
        <v>#REF!</v>
      </c>
      <c r="AG15" s="213" t="e">
        <f t="shared" si="6"/>
        <v>#REF!</v>
      </c>
      <c r="AH15" s="213" t="e">
        <f t="shared" si="6"/>
        <v>#REF!</v>
      </c>
      <c r="AI15" s="213" t="e">
        <f t="shared" si="6"/>
        <v>#REF!</v>
      </c>
      <c r="AJ15" s="213" t="e">
        <f t="shared" si="6"/>
        <v>#REF!</v>
      </c>
      <c r="AK15" s="213" t="e">
        <f t="shared" si="6"/>
        <v>#REF!</v>
      </c>
      <c r="AL15" s="213" t="e">
        <f t="shared" si="6"/>
        <v>#REF!</v>
      </c>
      <c r="AM15" s="213" t="e">
        <f t="shared" si="6"/>
        <v>#REF!</v>
      </c>
      <c r="AN15" s="213" t="e">
        <f t="shared" si="6"/>
        <v>#REF!</v>
      </c>
      <c r="AO15" s="213" t="e">
        <f t="shared" si="6"/>
        <v>#REF!</v>
      </c>
      <c r="AP15" s="211" t="e">
        <f t="shared" si="6"/>
        <v>#REF!</v>
      </c>
      <c r="AQ15" s="213" t="e">
        <f t="shared" si="6"/>
        <v>#REF!</v>
      </c>
      <c r="AR15" s="213" t="e">
        <f t="shared" si="6"/>
        <v>#REF!</v>
      </c>
      <c r="AS15" s="213" t="e">
        <f t="shared" si="6"/>
        <v>#REF!</v>
      </c>
      <c r="AT15" s="213" t="e">
        <f t="shared" si="6"/>
        <v>#REF!</v>
      </c>
      <c r="AU15" s="213" t="e">
        <f t="shared" si="6"/>
        <v>#REF!</v>
      </c>
      <c r="AV15" s="213" t="e">
        <f t="shared" si="6"/>
        <v>#REF!</v>
      </c>
      <c r="AW15" s="213" t="e">
        <f t="shared" si="6"/>
        <v>#REF!</v>
      </c>
      <c r="AX15" s="213" t="e">
        <f t="shared" si="6"/>
        <v>#REF!</v>
      </c>
      <c r="AY15" s="213" t="e">
        <f t="shared" si="6"/>
        <v>#REF!</v>
      </c>
      <c r="AZ15" s="213" t="e">
        <f t="shared" si="6"/>
        <v>#REF!</v>
      </c>
      <c r="BA15" s="213" t="e">
        <f t="shared" si="6"/>
        <v>#REF!</v>
      </c>
      <c r="BB15" s="213" t="e">
        <f t="shared" si="6"/>
        <v>#REF!</v>
      </c>
      <c r="BC15" s="211" t="e">
        <f t="shared" si="6"/>
        <v>#REF!</v>
      </c>
      <c r="BD15" s="213" t="e">
        <f t="shared" si="6"/>
        <v>#REF!</v>
      </c>
      <c r="BE15" s="213" t="e">
        <f t="shared" si="6"/>
        <v>#REF!</v>
      </c>
      <c r="BF15" s="213" t="e">
        <f t="shared" si="6"/>
        <v>#REF!</v>
      </c>
      <c r="BG15" s="213" t="e">
        <f t="shared" si="6"/>
        <v>#REF!</v>
      </c>
      <c r="BH15" s="213" t="e">
        <f t="shared" si="6"/>
        <v>#REF!</v>
      </c>
      <c r="BI15" s="213" t="e">
        <f t="shared" si="6"/>
        <v>#REF!</v>
      </c>
      <c r="BJ15" s="213" t="e">
        <f t="shared" si="6"/>
        <v>#REF!</v>
      </c>
      <c r="BK15" s="213" t="e">
        <f t="shared" si="6"/>
        <v>#REF!</v>
      </c>
      <c r="BL15" s="213" t="e">
        <f t="shared" si="6"/>
        <v>#REF!</v>
      </c>
      <c r="BM15" s="213" t="e">
        <f t="shared" si="6"/>
        <v>#REF!</v>
      </c>
      <c r="BN15" s="213" t="e">
        <f t="shared" si="6"/>
        <v>#REF!</v>
      </c>
      <c r="BO15" s="213" t="e">
        <f t="shared" si="6"/>
        <v>#REF!</v>
      </c>
      <c r="BP15" s="211" t="e">
        <f t="shared" si="6"/>
        <v>#REF!</v>
      </c>
      <c r="BQ15" s="211" t="e">
        <f t="shared" si="6"/>
        <v>#REF!</v>
      </c>
    </row>
    <row r="17" spans="1:69" ht="12.75" customHeight="1">
      <c r="A17" s="187"/>
      <c r="B17" s="187" t="s">
        <v>422</v>
      </c>
      <c r="C17" s="187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</row>
    <row r="18" spans="1:69" ht="12.75" customHeight="1">
      <c r="A18" s="217" t="s">
        <v>461</v>
      </c>
      <c r="B18" s="218"/>
      <c r="C18" s="219" t="e">
        <f t="shared" ref="C18:C21" si="7">#REF!</f>
        <v>#REF!</v>
      </c>
      <c r="D18" s="217" t="e">
        <f t="shared" ref="D18:BQ18" si="8">ROUND(D$15*$C18,0)</f>
        <v>#REF!</v>
      </c>
      <c r="E18" s="217" t="e">
        <f t="shared" si="8"/>
        <v>#REF!</v>
      </c>
      <c r="F18" s="217" t="e">
        <f t="shared" si="8"/>
        <v>#REF!</v>
      </c>
      <c r="G18" s="217" t="e">
        <f t="shared" si="8"/>
        <v>#REF!</v>
      </c>
      <c r="H18" s="217" t="e">
        <f t="shared" si="8"/>
        <v>#REF!</v>
      </c>
      <c r="I18" s="217" t="e">
        <f t="shared" si="8"/>
        <v>#REF!</v>
      </c>
      <c r="J18" s="217" t="e">
        <f t="shared" si="8"/>
        <v>#REF!</v>
      </c>
      <c r="K18" s="217" t="e">
        <f t="shared" si="8"/>
        <v>#REF!</v>
      </c>
      <c r="L18" s="217" t="e">
        <f t="shared" si="8"/>
        <v>#REF!</v>
      </c>
      <c r="M18" s="217" t="e">
        <f t="shared" si="8"/>
        <v>#REF!</v>
      </c>
      <c r="N18" s="217" t="e">
        <f t="shared" si="8"/>
        <v>#REF!</v>
      </c>
      <c r="O18" s="217" t="e">
        <f t="shared" si="8"/>
        <v>#REF!</v>
      </c>
      <c r="P18" s="220" t="e">
        <f t="shared" si="8"/>
        <v>#REF!</v>
      </c>
      <c r="Q18" s="217" t="e">
        <f t="shared" si="8"/>
        <v>#REF!</v>
      </c>
      <c r="R18" s="217" t="e">
        <f t="shared" si="8"/>
        <v>#REF!</v>
      </c>
      <c r="S18" s="217" t="e">
        <f t="shared" si="8"/>
        <v>#REF!</v>
      </c>
      <c r="T18" s="217" t="e">
        <f t="shared" si="8"/>
        <v>#REF!</v>
      </c>
      <c r="U18" s="217" t="e">
        <f t="shared" si="8"/>
        <v>#REF!</v>
      </c>
      <c r="V18" s="217" t="e">
        <f t="shared" si="8"/>
        <v>#REF!</v>
      </c>
      <c r="W18" s="217" t="e">
        <f t="shared" si="8"/>
        <v>#REF!</v>
      </c>
      <c r="X18" s="217" t="e">
        <f t="shared" si="8"/>
        <v>#REF!</v>
      </c>
      <c r="Y18" s="217" t="e">
        <f t="shared" si="8"/>
        <v>#REF!</v>
      </c>
      <c r="Z18" s="217" t="e">
        <f t="shared" si="8"/>
        <v>#REF!</v>
      </c>
      <c r="AA18" s="217" t="e">
        <f t="shared" si="8"/>
        <v>#REF!</v>
      </c>
      <c r="AB18" s="217" t="e">
        <f t="shared" si="8"/>
        <v>#REF!</v>
      </c>
      <c r="AC18" s="220" t="e">
        <f t="shared" si="8"/>
        <v>#REF!</v>
      </c>
      <c r="AD18" s="217" t="e">
        <f t="shared" si="8"/>
        <v>#REF!</v>
      </c>
      <c r="AE18" s="217" t="e">
        <f t="shared" si="8"/>
        <v>#REF!</v>
      </c>
      <c r="AF18" s="217" t="e">
        <f t="shared" si="8"/>
        <v>#REF!</v>
      </c>
      <c r="AG18" s="217" t="e">
        <f t="shared" si="8"/>
        <v>#REF!</v>
      </c>
      <c r="AH18" s="217" t="e">
        <f t="shared" si="8"/>
        <v>#REF!</v>
      </c>
      <c r="AI18" s="217" t="e">
        <f t="shared" si="8"/>
        <v>#REF!</v>
      </c>
      <c r="AJ18" s="217" t="e">
        <f t="shared" si="8"/>
        <v>#REF!</v>
      </c>
      <c r="AK18" s="217" t="e">
        <f t="shared" si="8"/>
        <v>#REF!</v>
      </c>
      <c r="AL18" s="217" t="e">
        <f t="shared" si="8"/>
        <v>#REF!</v>
      </c>
      <c r="AM18" s="217" t="e">
        <f t="shared" si="8"/>
        <v>#REF!</v>
      </c>
      <c r="AN18" s="217" t="e">
        <f t="shared" si="8"/>
        <v>#REF!</v>
      </c>
      <c r="AO18" s="217" t="e">
        <f t="shared" si="8"/>
        <v>#REF!</v>
      </c>
      <c r="AP18" s="220" t="e">
        <f t="shared" si="8"/>
        <v>#REF!</v>
      </c>
      <c r="AQ18" s="217" t="e">
        <f t="shared" si="8"/>
        <v>#REF!</v>
      </c>
      <c r="AR18" s="217" t="e">
        <f t="shared" si="8"/>
        <v>#REF!</v>
      </c>
      <c r="AS18" s="217" t="e">
        <f t="shared" si="8"/>
        <v>#REF!</v>
      </c>
      <c r="AT18" s="217" t="e">
        <f t="shared" si="8"/>
        <v>#REF!</v>
      </c>
      <c r="AU18" s="217" t="e">
        <f t="shared" si="8"/>
        <v>#REF!</v>
      </c>
      <c r="AV18" s="217" t="e">
        <f t="shared" si="8"/>
        <v>#REF!</v>
      </c>
      <c r="AW18" s="217" t="e">
        <f t="shared" si="8"/>
        <v>#REF!</v>
      </c>
      <c r="AX18" s="217" t="e">
        <f t="shared" si="8"/>
        <v>#REF!</v>
      </c>
      <c r="AY18" s="217" t="e">
        <f t="shared" si="8"/>
        <v>#REF!</v>
      </c>
      <c r="AZ18" s="217" t="e">
        <f t="shared" si="8"/>
        <v>#REF!</v>
      </c>
      <c r="BA18" s="217" t="e">
        <f t="shared" si="8"/>
        <v>#REF!</v>
      </c>
      <c r="BB18" s="217" t="e">
        <f t="shared" si="8"/>
        <v>#REF!</v>
      </c>
      <c r="BC18" s="220" t="e">
        <f t="shared" si="8"/>
        <v>#REF!</v>
      </c>
      <c r="BD18" s="217" t="e">
        <f t="shared" si="8"/>
        <v>#REF!</v>
      </c>
      <c r="BE18" s="217" t="e">
        <f t="shared" si="8"/>
        <v>#REF!</v>
      </c>
      <c r="BF18" s="217" t="e">
        <f t="shared" si="8"/>
        <v>#REF!</v>
      </c>
      <c r="BG18" s="217" t="e">
        <f t="shared" si="8"/>
        <v>#REF!</v>
      </c>
      <c r="BH18" s="217" t="e">
        <f t="shared" si="8"/>
        <v>#REF!</v>
      </c>
      <c r="BI18" s="217" t="e">
        <f t="shared" si="8"/>
        <v>#REF!</v>
      </c>
      <c r="BJ18" s="217" t="e">
        <f t="shared" si="8"/>
        <v>#REF!</v>
      </c>
      <c r="BK18" s="217" t="e">
        <f t="shared" si="8"/>
        <v>#REF!</v>
      </c>
      <c r="BL18" s="217" t="e">
        <f t="shared" si="8"/>
        <v>#REF!</v>
      </c>
      <c r="BM18" s="217" t="e">
        <f t="shared" si="8"/>
        <v>#REF!</v>
      </c>
      <c r="BN18" s="217" t="e">
        <f t="shared" si="8"/>
        <v>#REF!</v>
      </c>
      <c r="BO18" s="217" t="e">
        <f t="shared" si="8"/>
        <v>#REF!</v>
      </c>
      <c r="BP18" s="220" t="e">
        <f t="shared" si="8"/>
        <v>#REF!</v>
      </c>
      <c r="BQ18" s="220" t="e">
        <f t="shared" si="8"/>
        <v>#REF!</v>
      </c>
    </row>
    <row r="19" spans="1:69" ht="12.75" customHeight="1">
      <c r="A19" s="221" t="s">
        <v>423</v>
      </c>
      <c r="B19" s="222"/>
      <c r="C19" s="223" t="e">
        <f t="shared" si="7"/>
        <v>#REF!</v>
      </c>
      <c r="D19" s="221" t="e">
        <f t="shared" ref="D19:BQ19" si="9">ROUND(D$15*$C19,0)</f>
        <v>#REF!</v>
      </c>
      <c r="E19" s="221" t="e">
        <f t="shared" si="9"/>
        <v>#REF!</v>
      </c>
      <c r="F19" s="221" t="e">
        <f t="shared" si="9"/>
        <v>#REF!</v>
      </c>
      <c r="G19" s="221" t="e">
        <f t="shared" si="9"/>
        <v>#REF!</v>
      </c>
      <c r="H19" s="221" t="e">
        <f t="shared" si="9"/>
        <v>#REF!</v>
      </c>
      <c r="I19" s="221" t="e">
        <f t="shared" si="9"/>
        <v>#REF!</v>
      </c>
      <c r="J19" s="221" t="e">
        <f t="shared" si="9"/>
        <v>#REF!</v>
      </c>
      <c r="K19" s="221" t="e">
        <f t="shared" si="9"/>
        <v>#REF!</v>
      </c>
      <c r="L19" s="221" t="e">
        <f t="shared" si="9"/>
        <v>#REF!</v>
      </c>
      <c r="M19" s="221" t="e">
        <f t="shared" si="9"/>
        <v>#REF!</v>
      </c>
      <c r="N19" s="221" t="e">
        <f t="shared" si="9"/>
        <v>#REF!</v>
      </c>
      <c r="O19" s="221" t="e">
        <f t="shared" si="9"/>
        <v>#REF!</v>
      </c>
      <c r="P19" s="224" t="e">
        <f t="shared" si="9"/>
        <v>#REF!</v>
      </c>
      <c r="Q19" s="221" t="e">
        <f t="shared" si="9"/>
        <v>#REF!</v>
      </c>
      <c r="R19" s="221" t="e">
        <f t="shared" si="9"/>
        <v>#REF!</v>
      </c>
      <c r="S19" s="221" t="e">
        <f t="shared" si="9"/>
        <v>#REF!</v>
      </c>
      <c r="T19" s="221" t="e">
        <f t="shared" si="9"/>
        <v>#REF!</v>
      </c>
      <c r="U19" s="221" t="e">
        <f t="shared" si="9"/>
        <v>#REF!</v>
      </c>
      <c r="V19" s="221" t="e">
        <f t="shared" si="9"/>
        <v>#REF!</v>
      </c>
      <c r="W19" s="221" t="e">
        <f t="shared" si="9"/>
        <v>#REF!</v>
      </c>
      <c r="X19" s="221" t="e">
        <f t="shared" si="9"/>
        <v>#REF!</v>
      </c>
      <c r="Y19" s="221" t="e">
        <f t="shared" si="9"/>
        <v>#REF!</v>
      </c>
      <c r="Z19" s="221" t="e">
        <f t="shared" si="9"/>
        <v>#REF!</v>
      </c>
      <c r="AA19" s="221" t="e">
        <f t="shared" si="9"/>
        <v>#REF!</v>
      </c>
      <c r="AB19" s="221" t="e">
        <f t="shared" si="9"/>
        <v>#REF!</v>
      </c>
      <c r="AC19" s="224" t="e">
        <f t="shared" si="9"/>
        <v>#REF!</v>
      </c>
      <c r="AD19" s="221" t="e">
        <f t="shared" si="9"/>
        <v>#REF!</v>
      </c>
      <c r="AE19" s="221" t="e">
        <f t="shared" si="9"/>
        <v>#REF!</v>
      </c>
      <c r="AF19" s="221" t="e">
        <f t="shared" si="9"/>
        <v>#REF!</v>
      </c>
      <c r="AG19" s="221" t="e">
        <f t="shared" si="9"/>
        <v>#REF!</v>
      </c>
      <c r="AH19" s="221" t="e">
        <f t="shared" si="9"/>
        <v>#REF!</v>
      </c>
      <c r="AI19" s="221" t="e">
        <f t="shared" si="9"/>
        <v>#REF!</v>
      </c>
      <c r="AJ19" s="221" t="e">
        <f t="shared" si="9"/>
        <v>#REF!</v>
      </c>
      <c r="AK19" s="221" t="e">
        <f t="shared" si="9"/>
        <v>#REF!</v>
      </c>
      <c r="AL19" s="221" t="e">
        <f t="shared" si="9"/>
        <v>#REF!</v>
      </c>
      <c r="AM19" s="221" t="e">
        <f t="shared" si="9"/>
        <v>#REF!</v>
      </c>
      <c r="AN19" s="221" t="e">
        <f t="shared" si="9"/>
        <v>#REF!</v>
      </c>
      <c r="AO19" s="221" t="e">
        <f t="shared" si="9"/>
        <v>#REF!</v>
      </c>
      <c r="AP19" s="224" t="e">
        <f t="shared" si="9"/>
        <v>#REF!</v>
      </c>
      <c r="AQ19" s="221" t="e">
        <f t="shared" si="9"/>
        <v>#REF!</v>
      </c>
      <c r="AR19" s="221" t="e">
        <f t="shared" si="9"/>
        <v>#REF!</v>
      </c>
      <c r="AS19" s="221" t="e">
        <f t="shared" si="9"/>
        <v>#REF!</v>
      </c>
      <c r="AT19" s="221" t="e">
        <f t="shared" si="9"/>
        <v>#REF!</v>
      </c>
      <c r="AU19" s="221" t="e">
        <f t="shared" si="9"/>
        <v>#REF!</v>
      </c>
      <c r="AV19" s="221" t="e">
        <f t="shared" si="9"/>
        <v>#REF!</v>
      </c>
      <c r="AW19" s="221" t="e">
        <f t="shared" si="9"/>
        <v>#REF!</v>
      </c>
      <c r="AX19" s="221" t="e">
        <f t="shared" si="9"/>
        <v>#REF!</v>
      </c>
      <c r="AY19" s="221" t="e">
        <f t="shared" si="9"/>
        <v>#REF!</v>
      </c>
      <c r="AZ19" s="221" t="e">
        <f t="shared" si="9"/>
        <v>#REF!</v>
      </c>
      <c r="BA19" s="221" t="e">
        <f t="shared" si="9"/>
        <v>#REF!</v>
      </c>
      <c r="BB19" s="221" t="e">
        <f t="shared" si="9"/>
        <v>#REF!</v>
      </c>
      <c r="BC19" s="224" t="e">
        <f t="shared" si="9"/>
        <v>#REF!</v>
      </c>
      <c r="BD19" s="221" t="e">
        <f t="shared" si="9"/>
        <v>#REF!</v>
      </c>
      <c r="BE19" s="221" t="e">
        <f t="shared" si="9"/>
        <v>#REF!</v>
      </c>
      <c r="BF19" s="221" t="e">
        <f t="shared" si="9"/>
        <v>#REF!</v>
      </c>
      <c r="BG19" s="221" t="e">
        <f t="shared" si="9"/>
        <v>#REF!</v>
      </c>
      <c r="BH19" s="221" t="e">
        <f t="shared" si="9"/>
        <v>#REF!</v>
      </c>
      <c r="BI19" s="221" t="e">
        <f t="shared" si="9"/>
        <v>#REF!</v>
      </c>
      <c r="BJ19" s="221" t="e">
        <f t="shared" si="9"/>
        <v>#REF!</v>
      </c>
      <c r="BK19" s="221" t="e">
        <f t="shared" si="9"/>
        <v>#REF!</v>
      </c>
      <c r="BL19" s="221" t="e">
        <f t="shared" si="9"/>
        <v>#REF!</v>
      </c>
      <c r="BM19" s="221" t="e">
        <f t="shared" si="9"/>
        <v>#REF!</v>
      </c>
      <c r="BN19" s="221" t="e">
        <f t="shared" si="9"/>
        <v>#REF!</v>
      </c>
      <c r="BO19" s="221" t="e">
        <f t="shared" si="9"/>
        <v>#REF!</v>
      </c>
      <c r="BP19" s="224" t="e">
        <f t="shared" si="9"/>
        <v>#REF!</v>
      </c>
      <c r="BQ19" s="224" t="e">
        <f t="shared" si="9"/>
        <v>#REF!</v>
      </c>
    </row>
    <row r="20" spans="1:69" ht="12.75" customHeight="1">
      <c r="A20" s="225" t="s">
        <v>514</v>
      </c>
      <c r="B20" s="226"/>
      <c r="C20" s="227" t="e">
        <f t="shared" si="7"/>
        <v>#REF!</v>
      </c>
      <c r="D20" s="225" t="e">
        <f t="shared" ref="D20:BQ20" si="10">ROUND(D$15*$C20,0)</f>
        <v>#REF!</v>
      </c>
      <c r="E20" s="225" t="e">
        <f t="shared" si="10"/>
        <v>#REF!</v>
      </c>
      <c r="F20" s="225" t="e">
        <f t="shared" si="10"/>
        <v>#REF!</v>
      </c>
      <c r="G20" s="225" t="e">
        <f t="shared" si="10"/>
        <v>#REF!</v>
      </c>
      <c r="H20" s="225" t="e">
        <f t="shared" si="10"/>
        <v>#REF!</v>
      </c>
      <c r="I20" s="225" t="e">
        <f t="shared" si="10"/>
        <v>#REF!</v>
      </c>
      <c r="J20" s="225" t="e">
        <f t="shared" si="10"/>
        <v>#REF!</v>
      </c>
      <c r="K20" s="225" t="e">
        <f t="shared" si="10"/>
        <v>#REF!</v>
      </c>
      <c r="L20" s="225" t="e">
        <f t="shared" si="10"/>
        <v>#REF!</v>
      </c>
      <c r="M20" s="225" t="e">
        <f t="shared" si="10"/>
        <v>#REF!</v>
      </c>
      <c r="N20" s="225" t="e">
        <f t="shared" si="10"/>
        <v>#REF!</v>
      </c>
      <c r="O20" s="225" t="e">
        <f t="shared" si="10"/>
        <v>#REF!</v>
      </c>
      <c r="P20" s="228" t="e">
        <f t="shared" si="10"/>
        <v>#REF!</v>
      </c>
      <c r="Q20" s="225" t="e">
        <f t="shared" si="10"/>
        <v>#REF!</v>
      </c>
      <c r="R20" s="225" t="e">
        <f t="shared" si="10"/>
        <v>#REF!</v>
      </c>
      <c r="S20" s="225" t="e">
        <f t="shared" si="10"/>
        <v>#REF!</v>
      </c>
      <c r="T20" s="225" t="e">
        <f t="shared" si="10"/>
        <v>#REF!</v>
      </c>
      <c r="U20" s="225" t="e">
        <f t="shared" si="10"/>
        <v>#REF!</v>
      </c>
      <c r="V20" s="225" t="e">
        <f t="shared" si="10"/>
        <v>#REF!</v>
      </c>
      <c r="W20" s="225" t="e">
        <f t="shared" si="10"/>
        <v>#REF!</v>
      </c>
      <c r="X20" s="225" t="e">
        <f t="shared" si="10"/>
        <v>#REF!</v>
      </c>
      <c r="Y20" s="225" t="e">
        <f t="shared" si="10"/>
        <v>#REF!</v>
      </c>
      <c r="Z20" s="225" t="e">
        <f t="shared" si="10"/>
        <v>#REF!</v>
      </c>
      <c r="AA20" s="225" t="e">
        <f t="shared" si="10"/>
        <v>#REF!</v>
      </c>
      <c r="AB20" s="225" t="e">
        <f t="shared" si="10"/>
        <v>#REF!</v>
      </c>
      <c r="AC20" s="228" t="e">
        <f t="shared" si="10"/>
        <v>#REF!</v>
      </c>
      <c r="AD20" s="225" t="e">
        <f t="shared" si="10"/>
        <v>#REF!</v>
      </c>
      <c r="AE20" s="225" t="e">
        <f t="shared" si="10"/>
        <v>#REF!</v>
      </c>
      <c r="AF20" s="225" t="e">
        <f t="shared" si="10"/>
        <v>#REF!</v>
      </c>
      <c r="AG20" s="225" t="e">
        <f t="shared" si="10"/>
        <v>#REF!</v>
      </c>
      <c r="AH20" s="225" t="e">
        <f t="shared" si="10"/>
        <v>#REF!</v>
      </c>
      <c r="AI20" s="225" t="e">
        <f t="shared" si="10"/>
        <v>#REF!</v>
      </c>
      <c r="AJ20" s="225" t="e">
        <f t="shared" si="10"/>
        <v>#REF!</v>
      </c>
      <c r="AK20" s="225" t="e">
        <f t="shared" si="10"/>
        <v>#REF!</v>
      </c>
      <c r="AL20" s="225" t="e">
        <f t="shared" si="10"/>
        <v>#REF!</v>
      </c>
      <c r="AM20" s="225" t="e">
        <f t="shared" si="10"/>
        <v>#REF!</v>
      </c>
      <c r="AN20" s="225" t="e">
        <f t="shared" si="10"/>
        <v>#REF!</v>
      </c>
      <c r="AO20" s="225" t="e">
        <f t="shared" si="10"/>
        <v>#REF!</v>
      </c>
      <c r="AP20" s="228" t="e">
        <f t="shared" si="10"/>
        <v>#REF!</v>
      </c>
      <c r="AQ20" s="225" t="e">
        <f t="shared" si="10"/>
        <v>#REF!</v>
      </c>
      <c r="AR20" s="225" t="e">
        <f t="shared" si="10"/>
        <v>#REF!</v>
      </c>
      <c r="AS20" s="225" t="e">
        <f t="shared" si="10"/>
        <v>#REF!</v>
      </c>
      <c r="AT20" s="225" t="e">
        <f t="shared" si="10"/>
        <v>#REF!</v>
      </c>
      <c r="AU20" s="225" t="e">
        <f t="shared" si="10"/>
        <v>#REF!</v>
      </c>
      <c r="AV20" s="225" t="e">
        <f t="shared" si="10"/>
        <v>#REF!</v>
      </c>
      <c r="AW20" s="225" t="e">
        <f t="shared" si="10"/>
        <v>#REF!</v>
      </c>
      <c r="AX20" s="225" t="e">
        <f t="shared" si="10"/>
        <v>#REF!</v>
      </c>
      <c r="AY20" s="225" t="e">
        <f t="shared" si="10"/>
        <v>#REF!</v>
      </c>
      <c r="AZ20" s="225" t="e">
        <f t="shared" si="10"/>
        <v>#REF!</v>
      </c>
      <c r="BA20" s="225" t="e">
        <f t="shared" si="10"/>
        <v>#REF!</v>
      </c>
      <c r="BB20" s="225" t="e">
        <f t="shared" si="10"/>
        <v>#REF!</v>
      </c>
      <c r="BC20" s="228" t="e">
        <f t="shared" si="10"/>
        <v>#REF!</v>
      </c>
      <c r="BD20" s="225" t="e">
        <f t="shared" si="10"/>
        <v>#REF!</v>
      </c>
      <c r="BE20" s="225" t="e">
        <f t="shared" si="10"/>
        <v>#REF!</v>
      </c>
      <c r="BF20" s="225" t="e">
        <f t="shared" si="10"/>
        <v>#REF!</v>
      </c>
      <c r="BG20" s="225" t="e">
        <f t="shared" si="10"/>
        <v>#REF!</v>
      </c>
      <c r="BH20" s="225" t="e">
        <f t="shared" si="10"/>
        <v>#REF!</v>
      </c>
      <c r="BI20" s="225" t="e">
        <f t="shared" si="10"/>
        <v>#REF!</v>
      </c>
      <c r="BJ20" s="225" t="e">
        <f t="shared" si="10"/>
        <v>#REF!</v>
      </c>
      <c r="BK20" s="225" t="e">
        <f t="shared" si="10"/>
        <v>#REF!</v>
      </c>
      <c r="BL20" s="225" t="e">
        <f t="shared" si="10"/>
        <v>#REF!</v>
      </c>
      <c r="BM20" s="225" t="e">
        <f t="shared" si="10"/>
        <v>#REF!</v>
      </c>
      <c r="BN20" s="225" t="e">
        <f t="shared" si="10"/>
        <v>#REF!</v>
      </c>
      <c r="BO20" s="225" t="e">
        <f t="shared" si="10"/>
        <v>#REF!</v>
      </c>
      <c r="BP20" s="228" t="e">
        <f t="shared" si="10"/>
        <v>#REF!</v>
      </c>
      <c r="BQ20" s="228" t="e">
        <f t="shared" si="10"/>
        <v>#REF!</v>
      </c>
    </row>
    <row r="21" spans="1:69" ht="12.75" customHeight="1">
      <c r="A21" s="229" t="s">
        <v>131</v>
      </c>
      <c r="B21" s="230"/>
      <c r="C21" s="231" t="e">
        <f t="shared" si="7"/>
        <v>#REF!</v>
      </c>
      <c r="D21" s="229" t="e">
        <f t="shared" ref="D21:BQ21" si="11">ROUND(D$15*$C21,0)</f>
        <v>#REF!</v>
      </c>
      <c r="E21" s="229" t="e">
        <f t="shared" si="11"/>
        <v>#REF!</v>
      </c>
      <c r="F21" s="229" t="e">
        <f t="shared" si="11"/>
        <v>#REF!</v>
      </c>
      <c r="G21" s="229" t="e">
        <f t="shared" si="11"/>
        <v>#REF!</v>
      </c>
      <c r="H21" s="229" t="e">
        <f t="shared" si="11"/>
        <v>#REF!</v>
      </c>
      <c r="I21" s="229" t="e">
        <f t="shared" si="11"/>
        <v>#REF!</v>
      </c>
      <c r="J21" s="229" t="e">
        <f t="shared" si="11"/>
        <v>#REF!</v>
      </c>
      <c r="K21" s="229" t="e">
        <f t="shared" si="11"/>
        <v>#REF!</v>
      </c>
      <c r="L21" s="229" t="e">
        <f t="shared" si="11"/>
        <v>#REF!</v>
      </c>
      <c r="M21" s="229" t="e">
        <f t="shared" si="11"/>
        <v>#REF!</v>
      </c>
      <c r="N21" s="229" t="e">
        <f t="shared" si="11"/>
        <v>#REF!</v>
      </c>
      <c r="O21" s="229" t="e">
        <f t="shared" si="11"/>
        <v>#REF!</v>
      </c>
      <c r="P21" s="232" t="e">
        <f t="shared" si="11"/>
        <v>#REF!</v>
      </c>
      <c r="Q21" s="229" t="e">
        <f t="shared" si="11"/>
        <v>#REF!</v>
      </c>
      <c r="R21" s="229" t="e">
        <f t="shared" si="11"/>
        <v>#REF!</v>
      </c>
      <c r="S21" s="229" t="e">
        <f t="shared" si="11"/>
        <v>#REF!</v>
      </c>
      <c r="T21" s="229" t="e">
        <f t="shared" si="11"/>
        <v>#REF!</v>
      </c>
      <c r="U21" s="229" t="e">
        <f t="shared" si="11"/>
        <v>#REF!</v>
      </c>
      <c r="V21" s="229" t="e">
        <f t="shared" si="11"/>
        <v>#REF!</v>
      </c>
      <c r="W21" s="229" t="e">
        <f t="shared" si="11"/>
        <v>#REF!</v>
      </c>
      <c r="X21" s="229" t="e">
        <f t="shared" si="11"/>
        <v>#REF!</v>
      </c>
      <c r="Y21" s="229" t="e">
        <f t="shared" si="11"/>
        <v>#REF!</v>
      </c>
      <c r="Z21" s="229" t="e">
        <f t="shared" si="11"/>
        <v>#REF!</v>
      </c>
      <c r="AA21" s="229" t="e">
        <f t="shared" si="11"/>
        <v>#REF!</v>
      </c>
      <c r="AB21" s="229" t="e">
        <f t="shared" si="11"/>
        <v>#REF!</v>
      </c>
      <c r="AC21" s="232" t="e">
        <f t="shared" si="11"/>
        <v>#REF!</v>
      </c>
      <c r="AD21" s="229" t="e">
        <f t="shared" si="11"/>
        <v>#REF!</v>
      </c>
      <c r="AE21" s="229" t="e">
        <f t="shared" si="11"/>
        <v>#REF!</v>
      </c>
      <c r="AF21" s="229" t="e">
        <f t="shared" si="11"/>
        <v>#REF!</v>
      </c>
      <c r="AG21" s="229" t="e">
        <f t="shared" si="11"/>
        <v>#REF!</v>
      </c>
      <c r="AH21" s="229" t="e">
        <f t="shared" si="11"/>
        <v>#REF!</v>
      </c>
      <c r="AI21" s="229" t="e">
        <f t="shared" si="11"/>
        <v>#REF!</v>
      </c>
      <c r="AJ21" s="229" t="e">
        <f t="shared" si="11"/>
        <v>#REF!</v>
      </c>
      <c r="AK21" s="229" t="e">
        <f t="shared" si="11"/>
        <v>#REF!</v>
      </c>
      <c r="AL21" s="229" t="e">
        <f t="shared" si="11"/>
        <v>#REF!</v>
      </c>
      <c r="AM21" s="229" t="e">
        <f t="shared" si="11"/>
        <v>#REF!</v>
      </c>
      <c r="AN21" s="229" t="e">
        <f t="shared" si="11"/>
        <v>#REF!</v>
      </c>
      <c r="AO21" s="229" t="e">
        <f t="shared" si="11"/>
        <v>#REF!</v>
      </c>
      <c r="AP21" s="232" t="e">
        <f t="shared" si="11"/>
        <v>#REF!</v>
      </c>
      <c r="AQ21" s="229" t="e">
        <f t="shared" si="11"/>
        <v>#REF!</v>
      </c>
      <c r="AR21" s="229" t="e">
        <f t="shared" si="11"/>
        <v>#REF!</v>
      </c>
      <c r="AS21" s="229" t="e">
        <f t="shared" si="11"/>
        <v>#REF!</v>
      </c>
      <c r="AT21" s="229" t="e">
        <f t="shared" si="11"/>
        <v>#REF!</v>
      </c>
      <c r="AU21" s="229" t="e">
        <f t="shared" si="11"/>
        <v>#REF!</v>
      </c>
      <c r="AV21" s="229" t="e">
        <f t="shared" si="11"/>
        <v>#REF!</v>
      </c>
      <c r="AW21" s="229" t="e">
        <f t="shared" si="11"/>
        <v>#REF!</v>
      </c>
      <c r="AX21" s="229" t="e">
        <f t="shared" si="11"/>
        <v>#REF!</v>
      </c>
      <c r="AY21" s="229" t="e">
        <f t="shared" si="11"/>
        <v>#REF!</v>
      </c>
      <c r="AZ21" s="229" t="e">
        <f t="shared" si="11"/>
        <v>#REF!</v>
      </c>
      <c r="BA21" s="229" t="e">
        <f t="shared" si="11"/>
        <v>#REF!</v>
      </c>
      <c r="BB21" s="229" t="e">
        <f t="shared" si="11"/>
        <v>#REF!</v>
      </c>
      <c r="BC21" s="232" t="e">
        <f t="shared" si="11"/>
        <v>#REF!</v>
      </c>
      <c r="BD21" s="229" t="e">
        <f t="shared" si="11"/>
        <v>#REF!</v>
      </c>
      <c r="BE21" s="229" t="e">
        <f t="shared" si="11"/>
        <v>#REF!</v>
      </c>
      <c r="BF21" s="229" t="e">
        <f t="shared" si="11"/>
        <v>#REF!</v>
      </c>
      <c r="BG21" s="229" t="e">
        <f t="shared" si="11"/>
        <v>#REF!</v>
      </c>
      <c r="BH21" s="229" t="e">
        <f t="shared" si="11"/>
        <v>#REF!</v>
      </c>
      <c r="BI21" s="229" t="e">
        <f t="shared" si="11"/>
        <v>#REF!</v>
      </c>
      <c r="BJ21" s="229" t="e">
        <f t="shared" si="11"/>
        <v>#REF!</v>
      </c>
      <c r="BK21" s="229" t="e">
        <f t="shared" si="11"/>
        <v>#REF!</v>
      </c>
      <c r="BL21" s="229" t="e">
        <f t="shared" si="11"/>
        <v>#REF!</v>
      </c>
      <c r="BM21" s="229" t="e">
        <f t="shared" si="11"/>
        <v>#REF!</v>
      </c>
      <c r="BN21" s="229" t="e">
        <f t="shared" si="11"/>
        <v>#REF!</v>
      </c>
      <c r="BO21" s="229" t="e">
        <f t="shared" si="11"/>
        <v>#REF!</v>
      </c>
      <c r="BP21" s="232" t="e">
        <f t="shared" si="11"/>
        <v>#REF!</v>
      </c>
      <c r="BQ21" s="232" t="e">
        <f t="shared" si="11"/>
        <v>#REF!</v>
      </c>
    </row>
    <row r="22" spans="1:69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62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162"/>
      <c r="BM22" s="162"/>
      <c r="BN22" s="162"/>
      <c r="BO22" s="162"/>
      <c r="BP22" s="162"/>
      <c r="BQ22" s="162"/>
    </row>
    <row r="23" spans="1:69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6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</row>
    <row r="24" spans="1:69" ht="12.75" hidden="1" customHeight="1">
      <c r="A24" s="1" t="s">
        <v>510</v>
      </c>
      <c r="B24" s="1"/>
      <c r="C24" s="1"/>
      <c r="D24" s="285" t="e">
        <f t="shared" ref="D24:BQ24" si="12">ROUND(D19/D6,0)</f>
        <v>#REF!</v>
      </c>
      <c r="E24" s="285" t="e">
        <f t="shared" si="12"/>
        <v>#REF!</v>
      </c>
      <c r="F24" s="285" t="e">
        <f t="shared" si="12"/>
        <v>#REF!</v>
      </c>
      <c r="G24" s="285" t="e">
        <f t="shared" si="12"/>
        <v>#REF!</v>
      </c>
      <c r="H24" s="285" t="e">
        <f t="shared" si="12"/>
        <v>#REF!</v>
      </c>
      <c r="I24" s="285" t="e">
        <f t="shared" si="12"/>
        <v>#REF!</v>
      </c>
      <c r="J24" s="285" t="e">
        <f t="shared" si="12"/>
        <v>#REF!</v>
      </c>
      <c r="K24" s="285" t="e">
        <f t="shared" si="12"/>
        <v>#REF!</v>
      </c>
      <c r="L24" s="285" t="e">
        <f t="shared" si="12"/>
        <v>#REF!</v>
      </c>
      <c r="M24" s="285" t="e">
        <f t="shared" si="12"/>
        <v>#REF!</v>
      </c>
      <c r="N24" s="285" t="e">
        <f t="shared" si="12"/>
        <v>#REF!</v>
      </c>
      <c r="O24" s="285" t="e">
        <f t="shared" si="12"/>
        <v>#REF!</v>
      </c>
      <c r="P24" s="285" t="e">
        <f t="shared" si="12"/>
        <v>#REF!</v>
      </c>
      <c r="Q24" s="285" t="e">
        <f t="shared" si="12"/>
        <v>#REF!</v>
      </c>
      <c r="R24" s="285" t="e">
        <f t="shared" si="12"/>
        <v>#REF!</v>
      </c>
      <c r="S24" s="285" t="e">
        <f t="shared" si="12"/>
        <v>#REF!</v>
      </c>
      <c r="T24" s="285" t="e">
        <f t="shared" si="12"/>
        <v>#REF!</v>
      </c>
      <c r="U24" s="285" t="e">
        <f t="shared" si="12"/>
        <v>#REF!</v>
      </c>
      <c r="V24" s="285" t="e">
        <f t="shared" si="12"/>
        <v>#REF!</v>
      </c>
      <c r="W24" s="285" t="e">
        <f t="shared" si="12"/>
        <v>#REF!</v>
      </c>
      <c r="X24" s="285" t="e">
        <f t="shared" si="12"/>
        <v>#REF!</v>
      </c>
      <c r="Y24" s="285" t="e">
        <f t="shared" si="12"/>
        <v>#REF!</v>
      </c>
      <c r="Z24" s="285" t="e">
        <f t="shared" si="12"/>
        <v>#REF!</v>
      </c>
      <c r="AA24" s="285" t="e">
        <f t="shared" si="12"/>
        <v>#REF!</v>
      </c>
      <c r="AB24" s="285" t="e">
        <f t="shared" si="12"/>
        <v>#REF!</v>
      </c>
      <c r="AC24" s="285" t="e">
        <f t="shared" si="12"/>
        <v>#REF!</v>
      </c>
      <c r="AD24" s="285" t="e">
        <f t="shared" si="12"/>
        <v>#REF!</v>
      </c>
      <c r="AE24" s="285" t="e">
        <f t="shared" si="12"/>
        <v>#REF!</v>
      </c>
      <c r="AF24" s="285" t="e">
        <f t="shared" si="12"/>
        <v>#REF!</v>
      </c>
      <c r="AG24" s="285" t="e">
        <f t="shared" si="12"/>
        <v>#REF!</v>
      </c>
      <c r="AH24" s="285" t="e">
        <f t="shared" si="12"/>
        <v>#REF!</v>
      </c>
      <c r="AI24" s="285" t="e">
        <f t="shared" si="12"/>
        <v>#REF!</v>
      </c>
      <c r="AJ24" s="285" t="e">
        <f t="shared" si="12"/>
        <v>#REF!</v>
      </c>
      <c r="AK24" s="285" t="e">
        <f t="shared" si="12"/>
        <v>#REF!</v>
      </c>
      <c r="AL24" s="285" t="e">
        <f t="shared" si="12"/>
        <v>#REF!</v>
      </c>
      <c r="AM24" s="285" t="e">
        <f t="shared" si="12"/>
        <v>#REF!</v>
      </c>
      <c r="AN24" s="285" t="e">
        <f t="shared" si="12"/>
        <v>#REF!</v>
      </c>
      <c r="AO24" s="285" t="e">
        <f t="shared" si="12"/>
        <v>#REF!</v>
      </c>
      <c r="AP24" s="285" t="e">
        <f t="shared" si="12"/>
        <v>#REF!</v>
      </c>
      <c r="AQ24" s="285" t="e">
        <f t="shared" si="12"/>
        <v>#REF!</v>
      </c>
      <c r="AR24" s="285" t="e">
        <f t="shared" si="12"/>
        <v>#REF!</v>
      </c>
      <c r="AS24" s="285" t="e">
        <f t="shared" si="12"/>
        <v>#REF!</v>
      </c>
      <c r="AT24" s="285" t="e">
        <f t="shared" si="12"/>
        <v>#REF!</v>
      </c>
      <c r="AU24" s="285" t="e">
        <f t="shared" si="12"/>
        <v>#REF!</v>
      </c>
      <c r="AV24" s="285" t="e">
        <f t="shared" si="12"/>
        <v>#REF!</v>
      </c>
      <c r="AW24" s="285" t="e">
        <f t="shared" si="12"/>
        <v>#REF!</v>
      </c>
      <c r="AX24" s="285" t="e">
        <f t="shared" si="12"/>
        <v>#REF!</v>
      </c>
      <c r="AY24" s="285" t="e">
        <f t="shared" si="12"/>
        <v>#REF!</v>
      </c>
      <c r="AZ24" s="285" t="e">
        <f t="shared" si="12"/>
        <v>#REF!</v>
      </c>
      <c r="BA24" s="285" t="e">
        <f t="shared" si="12"/>
        <v>#REF!</v>
      </c>
      <c r="BB24" s="285" t="e">
        <f t="shared" si="12"/>
        <v>#REF!</v>
      </c>
      <c r="BC24" s="285" t="e">
        <f t="shared" si="12"/>
        <v>#REF!</v>
      </c>
      <c r="BD24" s="285" t="e">
        <f t="shared" si="12"/>
        <v>#REF!</v>
      </c>
      <c r="BE24" s="285" t="e">
        <f t="shared" si="12"/>
        <v>#REF!</v>
      </c>
      <c r="BF24" s="285" t="e">
        <f t="shared" si="12"/>
        <v>#REF!</v>
      </c>
      <c r="BG24" s="285" t="e">
        <f t="shared" si="12"/>
        <v>#REF!</v>
      </c>
      <c r="BH24" s="285" t="e">
        <f t="shared" si="12"/>
        <v>#REF!</v>
      </c>
      <c r="BI24" s="285" t="e">
        <f t="shared" si="12"/>
        <v>#REF!</v>
      </c>
      <c r="BJ24" s="285" t="e">
        <f t="shared" si="12"/>
        <v>#REF!</v>
      </c>
      <c r="BK24" s="285" t="e">
        <f t="shared" si="12"/>
        <v>#REF!</v>
      </c>
      <c r="BL24" s="285" t="e">
        <f t="shared" si="12"/>
        <v>#REF!</v>
      </c>
      <c r="BM24" s="285" t="e">
        <f t="shared" si="12"/>
        <v>#REF!</v>
      </c>
      <c r="BN24" s="285" t="e">
        <f t="shared" si="12"/>
        <v>#REF!</v>
      </c>
      <c r="BO24" s="285" t="e">
        <f t="shared" si="12"/>
        <v>#REF!</v>
      </c>
      <c r="BP24" s="285" t="e">
        <f t="shared" si="12"/>
        <v>#REF!</v>
      </c>
      <c r="BQ24" s="285" t="e">
        <f t="shared" si="12"/>
        <v>#REF!</v>
      </c>
    </row>
  </sheetData>
  <mergeCells count="1">
    <mergeCell ref="A1:B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3</vt:i4>
      </vt:variant>
    </vt:vector>
  </HeadingPairs>
  <TitlesOfParts>
    <vt:vector size="39" baseType="lpstr">
      <vt:lpstr>Model Assumptions</vt:lpstr>
      <vt:lpstr>Assumptions</vt:lpstr>
      <vt:lpstr>Org Chart</vt:lpstr>
      <vt:lpstr>P&amp;L - 1 Year</vt:lpstr>
      <vt:lpstr>P&amp;L - 5 year</vt:lpstr>
      <vt:lpstr>5 YR Summary</vt:lpstr>
      <vt:lpstr>Breakeven</vt:lpstr>
      <vt:lpstr>League Model</vt:lpstr>
      <vt:lpstr>BKFC Inputs</vt:lpstr>
      <vt:lpstr>Jeremy Model</vt:lpstr>
      <vt:lpstr>Invincible</vt:lpstr>
      <vt:lpstr>BKFC</vt:lpstr>
      <vt:lpstr>Ted Inputs</vt:lpstr>
      <vt:lpstr>Ted</vt:lpstr>
      <vt:lpstr>CB Inputs</vt:lpstr>
      <vt:lpstr>CareBears</vt:lpstr>
      <vt:lpstr>Blumhouse Inputs</vt:lpstr>
      <vt:lpstr>Blumhouse</vt:lpstr>
      <vt:lpstr>Tatsunoko Inputs</vt:lpstr>
      <vt:lpstr>Tatsunoko</vt:lpstr>
      <vt:lpstr>PPA MLP Inputs</vt:lpstr>
      <vt:lpstr>PPA MLP</vt:lpstr>
      <vt:lpstr>Pipeline (Projected)</vt:lpstr>
      <vt:lpstr>Utilization and Salaries</vt:lpstr>
      <vt:lpstr>Frequency Inputs</vt:lpstr>
      <vt:lpstr>Frequency</vt:lpstr>
      <vt:lpstr>Insurance</vt:lpstr>
      <vt:lpstr>Chart Cashflow</vt:lpstr>
      <vt:lpstr>Biz Cards</vt:lpstr>
      <vt:lpstr>Tool Revenue</vt:lpstr>
      <vt:lpstr>Card Rev - Leagues</vt:lpstr>
      <vt:lpstr>Card Rev - Brand Stars</vt:lpstr>
      <vt:lpstr>DPM</vt:lpstr>
      <vt:lpstr>Inside Card Rev</vt:lpstr>
      <vt:lpstr>Services Rev</vt:lpstr>
      <vt:lpstr>Sponsorship</vt:lpstr>
      <vt:lpstr>Frequency!Print_Area</vt:lpstr>
      <vt:lpstr>'Frequency Inputs'!Print_Area</vt:lpstr>
      <vt:lpstr>Frequency!Print_Titles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Bayne</dc:creator>
  <cp:lastModifiedBy>Trey Bayne</cp:lastModifiedBy>
  <dcterms:created xsi:type="dcterms:W3CDTF">2025-08-14T21:11:50Z</dcterms:created>
  <dcterms:modified xsi:type="dcterms:W3CDTF">2026-10-14T18:22:38Z</dcterms:modified>
</cp:coreProperties>
</file>